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2\kozos\ELŐTERJESZTÉSEK\2019\Közös Hivatal együttes\December 11\2. Hivatal költségvetés 2019_3.mód\"/>
    </mc:Choice>
  </mc:AlternateContent>
  <bookViews>
    <workbookView xWindow="0" yWindow="0" windowWidth="13500" windowHeight="7932" tabRatio="500" activeTab="2"/>
  </bookViews>
  <sheets>
    <sheet name="Mérleg" sheetId="1" r:id="rId1"/>
    <sheet name="Bevételek" sheetId="2" r:id="rId2"/>
    <sheet name="Kiadások" sheetId="3" r:id="rId3"/>
  </sheets>
  <definedNames>
    <definedName name="_xlnm.Print_Titles" localSheetId="2">Kiadások!$1:$6</definedName>
    <definedName name="_xlnm.Print_Area" localSheetId="1">Bevételek!$A$1:$G$39</definedName>
    <definedName name="_xlnm.Print_Area" localSheetId="2">Kiadások!$A$1:$G$99</definedName>
    <definedName name="_xlnm.Print_Area" localSheetId="0">Mérleg!$A$1:$E$20</definedName>
  </definedNames>
  <calcPr calcId="152511"/>
</workbook>
</file>

<file path=xl/calcChain.xml><?xml version="1.0" encoding="utf-8"?>
<calcChain xmlns="http://schemas.openxmlformats.org/spreadsheetml/2006/main">
  <c r="G10" i="3" l="1"/>
  <c r="G11" i="3"/>
  <c r="G94" i="3" l="1"/>
  <c r="G95" i="3"/>
  <c r="G96" i="3"/>
  <c r="G51" i="3"/>
  <c r="G60" i="3"/>
  <c r="G70" i="3"/>
  <c r="F70" i="3"/>
  <c r="G68" i="3"/>
  <c r="G65" i="3"/>
  <c r="G63" i="3"/>
  <c r="G61" i="3"/>
  <c r="G58" i="3"/>
  <c r="G57" i="3" s="1"/>
  <c r="G55" i="3"/>
  <c r="G53" i="3" s="1"/>
  <c r="G52" i="3" s="1"/>
  <c r="G54" i="3"/>
  <c r="G16" i="2"/>
  <c r="G15" i="2" s="1"/>
  <c r="G9" i="2" l="1"/>
  <c r="G40" i="3" l="1"/>
  <c r="G50" i="3" l="1"/>
  <c r="G48" i="3"/>
  <c r="G97" i="3" s="1"/>
  <c r="E17" i="1" s="1"/>
  <c r="G16" i="3" l="1"/>
  <c r="G14" i="2"/>
  <c r="G20" i="3"/>
  <c r="G33" i="2" l="1"/>
  <c r="G87" i="3"/>
  <c r="G80" i="3"/>
  <c r="G79" i="3"/>
  <c r="G85" i="3"/>
  <c r="G90" i="3"/>
  <c r="G77" i="3"/>
  <c r="G76" i="3" s="1"/>
  <c r="G73" i="3" s="1"/>
  <c r="G74" i="3"/>
  <c r="G89" i="3"/>
  <c r="G88" i="3" s="1"/>
  <c r="G82" i="3" l="1"/>
  <c r="G72" i="3" s="1"/>
  <c r="G9" i="3"/>
  <c r="G8" i="3" s="1"/>
  <c r="G93" i="3" s="1"/>
  <c r="G98" i="3" s="1"/>
  <c r="F9" i="2"/>
  <c r="F8" i="2" s="1"/>
  <c r="G8" i="2"/>
  <c r="F10" i="2"/>
  <c r="F37" i="2" s="1"/>
  <c r="D9" i="1" s="1"/>
  <c r="G10" i="2"/>
  <c r="G37" i="2" s="1"/>
  <c r="E9" i="1" s="1"/>
  <c r="F14" i="2"/>
  <c r="F35" i="2" s="1"/>
  <c r="F23" i="2"/>
  <c r="F21" i="2" s="1"/>
  <c r="F20" i="2" s="1"/>
  <c r="G24" i="2"/>
  <c r="G25" i="2"/>
  <c r="G26" i="2"/>
  <c r="G27" i="2"/>
  <c r="G28" i="2"/>
  <c r="G29" i="2"/>
  <c r="G30" i="2"/>
  <c r="G31" i="2"/>
  <c r="G32" i="2"/>
  <c r="F10" i="3"/>
  <c r="F16" i="3" s="1"/>
  <c r="F15" i="3" s="1"/>
  <c r="G17" i="3"/>
  <c r="F20" i="3"/>
  <c r="F22" i="3"/>
  <c r="G22" i="3"/>
  <c r="F29" i="3"/>
  <c r="F27" i="3" s="1"/>
  <c r="F26" i="3" s="1"/>
  <c r="G29" i="3"/>
  <c r="G27" i="3" s="1"/>
  <c r="G26" i="3" s="1"/>
  <c r="F40" i="3"/>
  <c r="F37" i="3" s="1"/>
  <c r="F32" i="3" s="1"/>
  <c r="G37" i="3"/>
  <c r="G32" i="3" s="1"/>
  <c r="F41" i="3"/>
  <c r="F43" i="3"/>
  <c r="G43" i="3"/>
  <c r="F46" i="3"/>
  <c r="D16" i="1" s="1"/>
  <c r="G46" i="3"/>
  <c r="E16" i="1" s="1"/>
  <c r="F51" i="3"/>
  <c r="G15" i="3" l="1"/>
  <c r="F9" i="3"/>
  <c r="F8" i="3" s="1"/>
  <c r="F93" i="3" s="1"/>
  <c r="F19" i="3"/>
  <c r="F18" i="3" s="1"/>
  <c r="D15" i="1" s="1"/>
  <c r="G19" i="3"/>
  <c r="G36" i="2"/>
  <c r="E8" i="1" s="1"/>
  <c r="F7" i="2"/>
  <c r="F36" i="2"/>
  <c r="D8" i="1" s="1"/>
  <c r="G23" i="2"/>
  <c r="G21" i="2" s="1"/>
  <c r="G20" i="2" s="1"/>
  <c r="G38" i="2" s="1"/>
  <c r="E14" i="1"/>
  <c r="D14" i="1"/>
  <c r="F94" i="3"/>
  <c r="G18" i="3"/>
  <c r="F19" i="2"/>
  <c r="F38" i="2"/>
  <c r="D10" i="1" s="1"/>
  <c r="F96" i="3"/>
  <c r="G7" i="2"/>
  <c r="G35" i="2" s="1"/>
  <c r="F7" i="3" l="1"/>
  <c r="F92" i="3" s="1"/>
  <c r="D13" i="1"/>
  <c r="G7" i="3"/>
  <c r="G19" i="2"/>
  <c r="F95" i="3"/>
  <c r="F98" i="3" s="1"/>
  <c r="E15" i="1"/>
  <c r="F39" i="2"/>
  <c r="E10" i="1"/>
  <c r="E7" i="1" s="1"/>
  <c r="E11" i="1" s="1"/>
  <c r="G39" i="2"/>
  <c r="D7" i="1"/>
  <c r="D11" i="1" s="1"/>
  <c r="E13" i="1"/>
  <c r="D12" i="1"/>
  <c r="D18" i="1" s="1"/>
  <c r="E12" i="1" l="1"/>
  <c r="E18" i="1" s="1"/>
  <c r="G92" i="3"/>
</calcChain>
</file>

<file path=xl/sharedStrings.xml><?xml version="1.0" encoding="utf-8"?>
<sst xmlns="http://schemas.openxmlformats.org/spreadsheetml/2006/main" count="254" uniqueCount="144">
  <si>
    <t>KŐVÁGÓÖRSI KÖZÖS ÖNKORMÁNYZATI HIVATAL</t>
  </si>
  <si>
    <t>2019. évi költségvetés ÖSSZEVONT MÉRLEGE</t>
  </si>
  <si>
    <t>Megnevezés</t>
  </si>
  <si>
    <t>Előirányzat (Ft)</t>
  </si>
  <si>
    <t>eredeti</t>
  </si>
  <si>
    <t>módosított</t>
  </si>
  <si>
    <t>Működési bevételek összesen</t>
  </si>
  <si>
    <t>B1</t>
  </si>
  <si>
    <t>Működési célú támogatások államháztartáson belülről</t>
  </si>
  <si>
    <t>B4</t>
  </si>
  <si>
    <t>Működési bevételek</t>
  </si>
  <si>
    <t>B8</t>
  </si>
  <si>
    <t>Finanszírozási bevételek</t>
  </si>
  <si>
    <t>BEVÉTELEK ÖSSZESEN</t>
  </si>
  <si>
    <t>Működési kiadások összesen</t>
  </si>
  <si>
    <t>K1</t>
  </si>
  <si>
    <t>Személyi juttatások</t>
  </si>
  <si>
    <t>K2</t>
  </si>
  <si>
    <t>Munkaadókat terhelő járulékok és szociális hozzájárulási adó</t>
  </si>
  <si>
    <t>K3</t>
  </si>
  <si>
    <t>Dologi kiadások</t>
  </si>
  <si>
    <t>K5</t>
  </si>
  <si>
    <t>Működési célú kiadások</t>
  </si>
  <si>
    <t>KIADÁSOK ÖSSZESEN</t>
  </si>
  <si>
    <t>2019. évi BEVÉTELEK részletezése</t>
  </si>
  <si>
    <t>jogcím-csoportonként</t>
  </si>
  <si>
    <t>Jogcím-csoportok</t>
  </si>
  <si>
    <t xml:space="preserve">eredeti </t>
  </si>
  <si>
    <t xml:space="preserve">011130 Önkormányzatok és önkormányzati hivatalok jogalkotó és általános igazgatási tevékenysége </t>
  </si>
  <si>
    <t>Működési célú támogatások államháztartások belülről</t>
  </si>
  <si>
    <t>B16</t>
  </si>
  <si>
    <t>Egyéb működési célú támogatások bevételei államháztartáson belülről</t>
  </si>
  <si>
    <t>B403</t>
  </si>
  <si>
    <t>Közvetített szolgáltatások ellenértéke</t>
  </si>
  <si>
    <t>B408</t>
  </si>
  <si>
    <t>Kamatbevételek</t>
  </si>
  <si>
    <t>B411</t>
  </si>
  <si>
    <t>Hatósági bírságok</t>
  </si>
  <si>
    <t>016010 Országgyűlési, Önkormányzati és Eutópa parlamenti képviselőválasztáshoz kapcsolódó tevékenységek</t>
  </si>
  <si>
    <t>018030 Támogatási célú finnaszírozási műveletek</t>
  </si>
  <si>
    <t xml:space="preserve">B81  </t>
  </si>
  <si>
    <t>Belföldi finanszírozás bevételei</t>
  </si>
  <si>
    <t>B813 Előző évi költségvetési maradvány igénybevétele</t>
  </si>
  <si>
    <t>B816</t>
  </si>
  <si>
    <t>Központi, irányító szervi támogatás</t>
  </si>
  <si>
    <t>Kővágóörs állami támogatás</t>
  </si>
  <si>
    <t>Kővágóörs Község Önkormányzata</t>
  </si>
  <si>
    <t>Mindszentkálla Község Önkormányzata</t>
  </si>
  <si>
    <t>Kékkút Község Önkormányzata</t>
  </si>
  <si>
    <t>Köveskál Község Önkormányzata</t>
  </si>
  <si>
    <t>Szentbékkálla Község Önkormányzata</t>
  </si>
  <si>
    <t>Balatonhenye Község Önkormányzata</t>
  </si>
  <si>
    <t>Salföld Község Önkormányzata</t>
  </si>
  <si>
    <t>Balatonrendes Község Önkormányzata</t>
  </si>
  <si>
    <t>Révfülöp Nagyközség Önkormányzata</t>
  </si>
  <si>
    <t>2018. évi intézményfinanszírozás</t>
  </si>
  <si>
    <t>BEVÉTELEK ÖSSZESEN:</t>
  </si>
  <si>
    <t>2019. évi KIADÁSOK részletezése</t>
  </si>
  <si>
    <t>Kiemelt előirányzatok</t>
  </si>
  <si>
    <t>Létszám (fő)</t>
  </si>
  <si>
    <t>K11</t>
  </si>
  <si>
    <t>Foglalkoztatottak személyi juttatásai</t>
  </si>
  <si>
    <t>K1101</t>
  </si>
  <si>
    <t>Törvény szerinti illetmények, munkabérek</t>
  </si>
  <si>
    <t>K1102</t>
  </si>
  <si>
    <t>Jutalmak</t>
  </si>
  <si>
    <t>K1107</t>
  </si>
  <si>
    <t>Béren kívüli juttatások (cafetéria)</t>
  </si>
  <si>
    <t>K1109</t>
  </si>
  <si>
    <t>Közlekedési költségtérítés</t>
  </si>
  <si>
    <t>K1113</t>
  </si>
  <si>
    <t>Foglalkoztatottak egyéb személyi juttatásai</t>
  </si>
  <si>
    <t xml:space="preserve">Szociális hozzájárulási adó </t>
  </si>
  <si>
    <t>Személyi jövedelemadó (cafeteria)</t>
  </si>
  <si>
    <t>K31</t>
  </si>
  <si>
    <t>Készletbeszerzés</t>
  </si>
  <si>
    <t>K311</t>
  </si>
  <si>
    <t>Szakmai anyagok beszerzése</t>
  </si>
  <si>
    <t>Egyéb információhordozó</t>
  </si>
  <si>
    <t>K312</t>
  </si>
  <si>
    <t>Üzemeltetési anyagok beszerzése</t>
  </si>
  <si>
    <t>Irodaszer, nyomtatvány</t>
  </si>
  <si>
    <t>Nyomtatást segítő anyagok</t>
  </si>
  <si>
    <t>Mindazok, amelyek nem számolhatók el szakmai anyagnak</t>
  </si>
  <si>
    <t>K32</t>
  </si>
  <si>
    <t>Kommunikációs szolgáltatások</t>
  </si>
  <si>
    <t>K321</t>
  </si>
  <si>
    <t>Informatikai szolgáltatások igénybevétele(internet,szoftver)</t>
  </si>
  <si>
    <t>Internet</t>
  </si>
  <si>
    <t>Informatikai szolgáltatás</t>
  </si>
  <si>
    <t>Szoftverek kölcsönzése, bérlése</t>
  </si>
  <si>
    <t>K322</t>
  </si>
  <si>
    <t>Egyéb kommunikációs szolgáltatások (telefondíj)</t>
  </si>
  <si>
    <t>K33</t>
  </si>
  <si>
    <t>Szolgáltatási kiadások</t>
  </si>
  <si>
    <t>K333</t>
  </si>
  <si>
    <t>Bérleti és lízing díjak</t>
  </si>
  <si>
    <t>K334</t>
  </si>
  <si>
    <t>Karbantartási, kisjavítási szolgáltatások</t>
  </si>
  <si>
    <t>K335</t>
  </si>
  <si>
    <t>Közvetített szolgáltatások (térkép, tulajdoni lap)</t>
  </si>
  <si>
    <t>K336</t>
  </si>
  <si>
    <t>Szakmai tevékenységet segítő szolgáltatások (belső ellenőrzés)</t>
  </si>
  <si>
    <t>K337</t>
  </si>
  <si>
    <t>Egyéb szolgáltatások</t>
  </si>
  <si>
    <t>Postaköltség</t>
  </si>
  <si>
    <t>Pénzügyi, befektetési díj</t>
  </si>
  <si>
    <t>Más egyéb szolgáltatások</t>
  </si>
  <si>
    <t>K34</t>
  </si>
  <si>
    <t>Kiküldetések, reklám- és propagandakiadások</t>
  </si>
  <si>
    <t>K341</t>
  </si>
  <si>
    <t>Kiküldetések kiadásai</t>
  </si>
  <si>
    <t>K35</t>
  </si>
  <si>
    <t>Különféle befizetések és egyéb dologi kiadások</t>
  </si>
  <si>
    <t>K351</t>
  </si>
  <si>
    <t>Működési célú előzetesen felszámított áfa</t>
  </si>
  <si>
    <t>K355</t>
  </si>
  <si>
    <t>Egyéb dologi kiadások</t>
  </si>
  <si>
    <t>K506</t>
  </si>
  <si>
    <t>Helyi önkormányzatok működési célú támogatása</t>
  </si>
  <si>
    <t>K12</t>
  </si>
  <si>
    <t>Külső személyi juttatások</t>
  </si>
  <si>
    <t>K122</t>
  </si>
  <si>
    <t>Egyéb külső személyi juttatások (Megbízási díj)</t>
  </si>
  <si>
    <t>K123</t>
  </si>
  <si>
    <t>Egyéb külső személyi juttatások (Tiszteletdíj)</t>
  </si>
  <si>
    <t>Munkáltatót terhelő SZJA kiadásai</t>
  </si>
  <si>
    <t>016020 Országos és helyi népszavazással kapcsolatos tevékenységek</t>
  </si>
  <si>
    <t>ÖSSZESEN:</t>
  </si>
  <si>
    <t>Egyéb működési célú kiadások</t>
  </si>
  <si>
    <t>Kiadások Összesen:</t>
  </si>
  <si>
    <t>Létszámkeret:</t>
  </si>
  <si>
    <t>016010 Országgyűlési, Önkormányzati és Európa parlamenti képviselőválasztáshoz kapcsolódó tevékenységek</t>
  </si>
  <si>
    <t>K6</t>
  </si>
  <si>
    <t>Beruházások</t>
  </si>
  <si>
    <t>K64</t>
  </si>
  <si>
    <t>Egyéb tárgyi eszközök beszerzése</t>
  </si>
  <si>
    <t>K67</t>
  </si>
  <si>
    <t>Beruházási célú előzetesen felszámított áfa</t>
  </si>
  <si>
    <t>Európa parlamenti választások</t>
  </si>
  <si>
    <t>Önkormányzati választások</t>
  </si>
  <si>
    <t>Egyéb külső személyi juttatások (Reprezentáció)</t>
  </si>
  <si>
    <t>K512</t>
  </si>
  <si>
    <t>Egyéb váll. Működési támogatása (munkaidő megtérítés)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</si>
</sst>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0.0"/>
    <numFmt numFmtId="165" formatCode="_-* #,##0\ _F_t_-;\-* #,##0\ _F_t_-;_-* &quot;-&quot;??\ _F_t_-;_-@_-"/>
  </numFmts>
  <fonts count="11" x14ac:knownFonts="1">
    <font>
      <sz val="12"/>
      <name val="Times New Roman"/>
      <charset val="238"/>
    </font>
    <font>
      <u/>
      <sz val="12"/>
      <color indexed="20"/>
      <name val="Times New Roman"/>
      <family val="1"/>
      <charset val="238"/>
    </font>
    <font>
      <sz val="12"/>
      <color indexed="2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60"/>
      <name val="Times New Roman"/>
      <family val="1"/>
      <charset val="238"/>
    </font>
    <font>
      <b/>
      <sz val="12"/>
      <color indexed="20"/>
      <name val="Times New Roman"/>
      <family val="1"/>
      <charset val="238"/>
    </font>
    <font>
      <sz val="10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29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3" fontId="4" fillId="0" borderId="2" xfId="0" applyNumberFormat="1" applyFont="1" applyBorder="1"/>
    <xf numFmtId="3" fontId="3" fillId="0" borderId="2" xfId="0" applyNumberFormat="1" applyFont="1" applyBorder="1"/>
    <xf numFmtId="3" fontId="3" fillId="0" borderId="2" xfId="0" applyNumberFormat="1" applyFont="1" applyFill="1" applyBorder="1"/>
    <xf numFmtId="0" fontId="4" fillId="0" borderId="3" xfId="0" applyFont="1" applyBorder="1"/>
    <xf numFmtId="3" fontId="4" fillId="0" borderId="4" xfId="0" applyNumberFormat="1" applyFont="1" applyBorder="1"/>
    <xf numFmtId="0" fontId="4" fillId="0" borderId="0" xfId="0" applyFont="1" applyBorder="1"/>
    <xf numFmtId="3" fontId="3" fillId="0" borderId="0" xfId="0" applyNumberFormat="1" applyFont="1"/>
    <xf numFmtId="3" fontId="5" fillId="0" borderId="0" xfId="0" applyNumberFormat="1" applyFont="1"/>
    <xf numFmtId="0" fontId="0" fillId="0" borderId="0" xfId="0" applyAlignment="1">
      <alignment horizontal="center"/>
    </xf>
    <xf numFmtId="0" fontId="4" fillId="0" borderId="2" xfId="0" applyFont="1" applyBorder="1" applyAlignment="1"/>
    <xf numFmtId="3" fontId="4" fillId="0" borderId="2" xfId="0" applyNumberFormat="1" applyFont="1" applyBorder="1" applyAlignment="1">
      <alignment horizontal="right" vertical="center"/>
    </xf>
    <xf numFmtId="0" fontId="3" fillId="0" borderId="0" xfId="0" applyFont="1" applyBorder="1"/>
    <xf numFmtId="0" fontId="3" fillId="0" borderId="2" xfId="0" applyFont="1" applyBorder="1" applyAlignment="1"/>
    <xf numFmtId="3" fontId="3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3" fontId="3" fillId="0" borderId="2" xfId="0" applyNumberFormat="1" applyFont="1" applyFill="1" applyBorder="1" applyAlignment="1">
      <alignment horizontal="right"/>
    </xf>
    <xf numFmtId="3" fontId="4" fillId="0" borderId="2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2" xfId="0" applyFont="1" applyBorder="1"/>
    <xf numFmtId="3" fontId="3" fillId="0" borderId="2" xfId="0" applyNumberFormat="1" applyFont="1" applyFill="1" applyBorder="1" applyAlignment="1">
      <alignment horizontal="center"/>
    </xf>
    <xf numFmtId="0" fontId="4" fillId="0" borderId="0" xfId="0" applyFont="1" applyFill="1" applyBorder="1"/>
    <xf numFmtId="3" fontId="4" fillId="0" borderId="0" xfId="0" applyNumberFormat="1" applyFont="1" applyBorder="1" applyAlignment="1">
      <alignment horizontal="right"/>
    </xf>
    <xf numFmtId="0" fontId="3" fillId="0" borderId="0" xfId="0" applyFont="1" applyBorder="1" applyAlignment="1"/>
    <xf numFmtId="3" fontId="4" fillId="0" borderId="10" xfId="0" applyNumberFormat="1" applyFont="1" applyFill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3" fillId="0" borderId="10" xfId="0" applyNumberFormat="1" applyFont="1" applyFill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4" fillId="0" borderId="9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right"/>
    </xf>
    <xf numFmtId="3" fontId="3" fillId="0" borderId="10" xfId="0" applyNumberFormat="1" applyFont="1" applyFill="1" applyBorder="1"/>
    <xf numFmtId="0" fontId="4" fillId="0" borderId="0" xfId="0" applyFont="1" applyFill="1" applyAlignment="1"/>
    <xf numFmtId="3" fontId="3" fillId="0" borderId="15" xfId="0" applyNumberFormat="1" applyFont="1" applyFill="1" applyBorder="1"/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2" fontId="4" fillId="0" borderId="2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2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2" fontId="7" fillId="0" borderId="2" xfId="0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2" fontId="8" fillId="0" borderId="2" xfId="0" applyNumberFormat="1" applyFont="1" applyBorder="1" applyAlignment="1">
      <alignment horizontal="right"/>
    </xf>
    <xf numFmtId="0" fontId="4" fillId="0" borderId="0" xfId="0" applyFont="1" applyAlignment="1"/>
    <xf numFmtId="3" fontId="3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0" fontId="9" fillId="0" borderId="0" xfId="0" applyFont="1" applyAlignment="1">
      <alignment horizontal="left"/>
    </xf>
    <xf numFmtId="0" fontId="9" fillId="0" borderId="2" xfId="0" applyFont="1" applyBorder="1" applyAlignment="1">
      <alignment horizontal="left"/>
    </xf>
    <xf numFmtId="164" fontId="9" fillId="0" borderId="2" xfId="0" applyNumberFormat="1" applyFont="1" applyBorder="1" applyAlignment="1">
      <alignment horizontal="right"/>
    </xf>
    <xf numFmtId="3" fontId="9" fillId="0" borderId="5" xfId="0" applyNumberFormat="1" applyFont="1" applyBorder="1" applyAlignment="1">
      <alignment horizontal="center"/>
    </xf>
    <xf numFmtId="0" fontId="4" fillId="2" borderId="11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4" fillId="2" borderId="13" xfId="0" applyFont="1" applyFill="1" applyBorder="1" applyAlignment="1">
      <alignment horizontal="left"/>
    </xf>
    <xf numFmtId="0" fontId="4" fillId="2" borderId="11" xfId="0" applyFont="1" applyFill="1" applyBorder="1"/>
    <xf numFmtId="0" fontId="4" fillId="2" borderId="12" xfId="0" applyFont="1" applyFill="1" applyBorder="1"/>
    <xf numFmtId="3" fontId="4" fillId="2" borderId="12" xfId="0" applyNumberFormat="1" applyFont="1" applyFill="1" applyBorder="1"/>
    <xf numFmtId="2" fontId="4" fillId="2" borderId="16" xfId="0" applyNumberFormat="1" applyFont="1" applyFill="1" applyBorder="1" applyAlignment="1">
      <alignment wrapText="1"/>
    </xf>
    <xf numFmtId="3" fontId="4" fillId="2" borderId="17" xfId="0" applyNumberFormat="1" applyFont="1" applyFill="1" applyBorder="1" applyAlignment="1">
      <alignment horizontal="center"/>
    </xf>
    <xf numFmtId="3" fontId="4" fillId="2" borderId="17" xfId="0" applyNumberFormat="1" applyFont="1" applyFill="1" applyBorder="1" applyAlignment="1">
      <alignment horizontal="center" vertical="center"/>
    </xf>
    <xf numFmtId="2" fontId="4" fillId="2" borderId="16" xfId="0" applyNumberFormat="1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3" fontId="4" fillId="2" borderId="4" xfId="0" applyNumberFormat="1" applyFont="1" applyFill="1" applyBorder="1" applyAlignment="1">
      <alignment horizontal="right"/>
    </xf>
    <xf numFmtId="3" fontId="4" fillId="2" borderId="15" xfId="0" applyNumberFormat="1" applyFont="1" applyFill="1" applyBorder="1" applyAlignment="1">
      <alignment horizontal="center"/>
    </xf>
    <xf numFmtId="3" fontId="4" fillId="2" borderId="12" xfId="0" applyNumberFormat="1" applyFont="1" applyFill="1" applyBorder="1" applyAlignment="1">
      <alignment horizontal="center"/>
    </xf>
    <xf numFmtId="3" fontId="4" fillId="2" borderId="13" xfId="0" applyNumberFormat="1" applyFont="1" applyFill="1" applyBorder="1" applyAlignment="1">
      <alignment horizontal="right"/>
    </xf>
    <xf numFmtId="3" fontId="4" fillId="2" borderId="14" xfId="0" applyNumberFormat="1" applyFont="1" applyFill="1" applyBorder="1" applyAlignment="1">
      <alignment horizontal="right"/>
    </xf>
    <xf numFmtId="3" fontId="4" fillId="2" borderId="7" xfId="0" applyNumberFormat="1" applyFont="1" applyFill="1" applyBorder="1" applyAlignment="1">
      <alignment horizontal="right" vertical="center"/>
    </xf>
    <xf numFmtId="3" fontId="4" fillId="2" borderId="8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3" fontId="4" fillId="0" borderId="10" xfId="0" applyNumberFormat="1" applyFont="1" applyBorder="1" applyAlignment="1">
      <alignment horizontal="right"/>
    </xf>
    <xf numFmtId="0" fontId="3" fillId="0" borderId="18" xfId="0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65" fontId="3" fillId="0" borderId="0" xfId="1" applyNumberFormat="1" applyFont="1"/>
    <xf numFmtId="165" fontId="3" fillId="0" borderId="0" xfId="0" applyNumberFormat="1" applyFont="1"/>
    <xf numFmtId="0" fontId="4" fillId="3" borderId="3" xfId="0" applyFont="1" applyFill="1" applyBorder="1"/>
    <xf numFmtId="3" fontId="4" fillId="3" borderId="4" xfId="0" applyNumberFormat="1" applyFont="1" applyFill="1" applyBorder="1"/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3" fontId="3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4" fillId="2" borderId="6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2" borderId="16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C9211E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zoomScale="110" zoomScaleNormal="110" zoomScaleSheetLayoutView="100" workbookViewId="0">
      <selection activeCell="F21" sqref="F21"/>
    </sheetView>
  </sheetViews>
  <sheetFormatPr defaultColWidth="8.8984375" defaultRowHeight="15.6" x14ac:dyDescent="0.3"/>
  <cols>
    <col min="1" max="1" width="3.3984375" customWidth="1"/>
    <col min="2" max="2" width="4.09765625" customWidth="1"/>
    <col min="3" max="3" width="46.8984375" customWidth="1"/>
    <col min="4" max="4" width="15.19921875" customWidth="1"/>
    <col min="5" max="5" width="14.59765625" customWidth="1"/>
  </cols>
  <sheetData>
    <row r="1" spans="1:5" s="1" customFormat="1" x14ac:dyDescent="0.3">
      <c r="A1" s="105"/>
      <c r="B1" s="105"/>
      <c r="C1" s="105"/>
    </row>
    <row r="2" spans="1:5" s="2" customFormat="1" x14ac:dyDescent="0.3">
      <c r="A2" s="106" t="s">
        <v>0</v>
      </c>
      <c r="B2" s="106"/>
      <c r="C2" s="106"/>
      <c r="D2" s="106"/>
      <c r="E2" s="106"/>
    </row>
    <row r="3" spans="1:5" s="2" customFormat="1" ht="21.75" customHeight="1" x14ac:dyDescent="0.3">
      <c r="A3" s="106" t="s">
        <v>1</v>
      </c>
      <c r="B3" s="106"/>
      <c r="C3" s="106"/>
      <c r="D3" s="106"/>
      <c r="E3" s="106"/>
    </row>
    <row r="4" spans="1:5" s="2" customFormat="1" ht="21.75" customHeight="1" x14ac:dyDescent="0.3">
      <c r="A4" s="3"/>
      <c r="B4" s="3"/>
      <c r="C4" s="3"/>
    </row>
    <row r="5" spans="1:5" s="2" customFormat="1" ht="21.75" customHeight="1" x14ac:dyDescent="0.3">
      <c r="A5" s="107" t="s">
        <v>2</v>
      </c>
      <c r="B5" s="107"/>
      <c r="C5" s="107"/>
      <c r="D5" s="90" t="s">
        <v>3</v>
      </c>
      <c r="E5" s="90" t="s">
        <v>3</v>
      </c>
    </row>
    <row r="6" spans="1:5" s="2" customFormat="1" ht="21.75" customHeight="1" x14ac:dyDescent="0.3">
      <c r="A6" s="107"/>
      <c r="B6" s="107"/>
      <c r="C6" s="107"/>
      <c r="D6" s="90" t="s">
        <v>4</v>
      </c>
      <c r="E6" s="90" t="s">
        <v>5</v>
      </c>
    </row>
    <row r="7" spans="1:5" s="2" customFormat="1" ht="30" customHeight="1" x14ac:dyDescent="0.3">
      <c r="A7" s="6"/>
      <c r="B7" s="6" t="s">
        <v>6</v>
      </c>
      <c r="C7" s="6"/>
      <c r="D7" s="7">
        <f>SUM(D8:D10)</f>
        <v>119703700</v>
      </c>
      <c r="E7" s="7">
        <f>SUM(E8:E10)</f>
        <v>140912623</v>
      </c>
    </row>
    <row r="8" spans="1:5" s="2" customFormat="1" ht="18" customHeight="1" x14ac:dyDescent="0.3">
      <c r="A8" s="2" t="s">
        <v>7</v>
      </c>
      <c r="B8" s="2" t="s">
        <v>8</v>
      </c>
      <c r="D8" s="8">
        <f>Bevételek!F36</f>
        <v>2420000</v>
      </c>
      <c r="E8" s="8">
        <f>Bevételek!G36</f>
        <v>23428415</v>
      </c>
    </row>
    <row r="9" spans="1:5" s="2" customFormat="1" ht="16.5" customHeight="1" x14ac:dyDescent="0.3">
      <c r="A9" s="2" t="s">
        <v>9</v>
      </c>
      <c r="B9" s="2" t="s">
        <v>10</v>
      </c>
      <c r="D9" s="8">
        <f>Bevételek!F37</f>
        <v>100959</v>
      </c>
      <c r="E9" s="8">
        <f>Bevételek!G37</f>
        <v>133699</v>
      </c>
    </row>
    <row r="10" spans="1:5" s="2" customFormat="1" ht="16.5" customHeight="1" x14ac:dyDescent="0.3">
      <c r="A10" s="2" t="s">
        <v>11</v>
      </c>
      <c r="B10" s="2" t="s">
        <v>12</v>
      </c>
      <c r="D10" s="9">
        <f>Bevételek!F38</f>
        <v>117182741</v>
      </c>
      <c r="E10" s="9">
        <f>Bevételek!G38</f>
        <v>117350509</v>
      </c>
    </row>
    <row r="11" spans="1:5" s="2" customFormat="1" ht="29.25" customHeight="1" x14ac:dyDescent="0.3">
      <c r="A11" s="10" t="s">
        <v>13</v>
      </c>
      <c r="B11" s="10"/>
      <c r="C11" s="10"/>
      <c r="D11" s="11">
        <f>SUM(D7)</f>
        <v>119703700</v>
      </c>
      <c r="E11" s="11">
        <f>SUM(E7)</f>
        <v>140912623</v>
      </c>
    </row>
    <row r="12" spans="1:5" s="2" customFormat="1" ht="36.75" customHeight="1" x14ac:dyDescent="0.3">
      <c r="A12" s="6"/>
      <c r="B12" s="6" t="s">
        <v>14</v>
      </c>
      <c r="C12" s="6"/>
      <c r="D12" s="7">
        <f>SUM(D13:D16)</f>
        <v>119703700.315</v>
      </c>
      <c r="E12" s="7">
        <f>SUM(E13:E17)</f>
        <v>140912622.53999999</v>
      </c>
    </row>
    <row r="13" spans="1:5" s="2" customFormat="1" ht="18" customHeight="1" x14ac:dyDescent="0.3">
      <c r="A13" s="2" t="s">
        <v>15</v>
      </c>
      <c r="B13" s="2" t="s">
        <v>16</v>
      </c>
      <c r="D13" s="8">
        <f>Kiadások!F8</f>
        <v>86983769</v>
      </c>
      <c r="E13" s="8">
        <f>Kiadások!G93</f>
        <v>101226696</v>
      </c>
    </row>
    <row r="14" spans="1:5" s="2" customFormat="1" ht="18" customHeight="1" x14ac:dyDescent="0.3">
      <c r="A14" s="2" t="s">
        <v>17</v>
      </c>
      <c r="B14" s="2" t="s">
        <v>18</v>
      </c>
      <c r="D14" s="9">
        <f>Kiadások!F15</f>
        <v>17195931.315000001</v>
      </c>
      <c r="E14" s="9">
        <f>Kiadások!G94</f>
        <v>19775502</v>
      </c>
    </row>
    <row r="15" spans="1:5" s="2" customFormat="1" ht="16.5" customHeight="1" x14ac:dyDescent="0.3">
      <c r="A15" s="2" t="s">
        <v>19</v>
      </c>
      <c r="B15" s="2" t="s">
        <v>20</v>
      </c>
      <c r="D15" s="9">
        <f>Kiadások!F18</f>
        <v>13324000</v>
      </c>
      <c r="E15" s="9">
        <f>Kiadások!G95</f>
        <v>16197376</v>
      </c>
    </row>
    <row r="16" spans="1:5" s="2" customFormat="1" ht="16.5" customHeight="1" x14ac:dyDescent="0.3">
      <c r="A16" s="2" t="s">
        <v>21</v>
      </c>
      <c r="B16" s="103" t="s">
        <v>22</v>
      </c>
      <c r="C16" s="103"/>
      <c r="D16" s="9">
        <f>Kiadások!F46</f>
        <v>2200000</v>
      </c>
      <c r="E16" s="9">
        <f>Kiadások!G96</f>
        <v>2213049</v>
      </c>
    </row>
    <row r="17" spans="1:5" s="2" customFormat="1" ht="16.5" customHeight="1" x14ac:dyDescent="0.3">
      <c r="A17" s="2" t="s">
        <v>133</v>
      </c>
      <c r="B17" s="103" t="s">
        <v>134</v>
      </c>
      <c r="C17" s="104"/>
      <c r="D17" s="9">
        <v>0</v>
      </c>
      <c r="E17" s="9">
        <f>Kiadások!G97</f>
        <v>1499999.54</v>
      </c>
    </row>
    <row r="18" spans="1:5" s="2" customFormat="1" ht="30.75" customHeight="1" x14ac:dyDescent="0.3">
      <c r="A18" s="98" t="s">
        <v>23</v>
      </c>
      <c r="B18" s="98"/>
      <c r="C18" s="98"/>
      <c r="D18" s="99">
        <f>SUM(D12)</f>
        <v>119703700.315</v>
      </c>
      <c r="E18" s="99">
        <f>SUM(E12)</f>
        <v>140912622.53999999</v>
      </c>
    </row>
    <row r="19" spans="1:5" s="2" customFormat="1" ht="15.75" customHeight="1" x14ac:dyDescent="0.3">
      <c r="A19" s="12"/>
      <c r="B19" s="12"/>
      <c r="C19" s="12"/>
      <c r="E19" s="13"/>
    </row>
    <row r="20" spans="1:5" s="2" customFormat="1" x14ac:dyDescent="0.3">
      <c r="E20" s="14"/>
    </row>
    <row r="21" spans="1:5" s="2" customFormat="1" x14ac:dyDescent="0.3"/>
  </sheetData>
  <sheetProtection selectLockedCells="1" selectUnlockedCells="1"/>
  <mergeCells count="6">
    <mergeCell ref="B17:C17"/>
    <mergeCell ref="A1:C1"/>
    <mergeCell ref="A2:E2"/>
    <mergeCell ref="A3:E3"/>
    <mergeCell ref="A5:C6"/>
    <mergeCell ref="B16:C16"/>
  </mergeCells>
  <printOptions headings="1" gridLines="1"/>
  <pageMargins left="0.74791666666666667" right="0.74791666666666667" top="0.98402777777777772" bottom="0.98402777777777772" header="0.51180555555555551" footer="0.51180555555555551"/>
  <pageSetup paperSize="9" scale="90" firstPageNumber="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opLeftCell="A22" zoomScale="110" zoomScaleNormal="110" zoomScaleSheetLayoutView="100" workbookViewId="0">
      <selection activeCell="G39" sqref="G39"/>
    </sheetView>
  </sheetViews>
  <sheetFormatPr defaultColWidth="8.8984375" defaultRowHeight="15.6" x14ac:dyDescent="0.3"/>
  <cols>
    <col min="1" max="1" width="4" customWidth="1"/>
    <col min="2" max="2" width="5.59765625" customWidth="1"/>
    <col min="3" max="4" width="6" customWidth="1"/>
    <col min="5" max="5" width="45.3984375" customWidth="1"/>
    <col min="6" max="6" width="16.3984375" style="15" customWidth="1"/>
    <col min="7" max="7" width="14.59765625" style="15" customWidth="1"/>
    <col min="8" max="8" width="11.09765625" customWidth="1"/>
    <col min="9" max="9" width="10.3984375" customWidth="1"/>
    <col min="10" max="10" width="8.8984375" customWidth="1"/>
    <col min="11" max="11" width="16.09765625" customWidth="1"/>
  </cols>
  <sheetData>
    <row r="1" spans="1:11" s="2" customFormat="1" ht="21.75" customHeight="1" x14ac:dyDescent="0.3">
      <c r="A1" s="106" t="s">
        <v>0</v>
      </c>
      <c r="B1" s="106"/>
      <c r="C1" s="106"/>
      <c r="D1" s="106"/>
      <c r="E1" s="106"/>
      <c r="F1" s="106"/>
      <c r="G1" s="106"/>
    </row>
    <row r="2" spans="1:11" s="2" customFormat="1" ht="23.25" customHeight="1" x14ac:dyDescent="0.3">
      <c r="A2" s="106" t="s">
        <v>24</v>
      </c>
      <c r="B2" s="106"/>
      <c r="C2" s="106"/>
      <c r="D2" s="106"/>
      <c r="E2" s="106"/>
      <c r="F2" s="106"/>
      <c r="G2" s="106"/>
    </row>
    <row r="3" spans="1:11" s="2" customFormat="1" ht="27" customHeight="1" x14ac:dyDescent="0.3">
      <c r="A3" s="106" t="s">
        <v>25</v>
      </c>
      <c r="B3" s="106"/>
      <c r="C3" s="106"/>
      <c r="D3" s="106"/>
      <c r="E3" s="106"/>
      <c r="F3" s="106"/>
      <c r="G3" s="106"/>
    </row>
    <row r="4" spans="1:11" s="2" customFormat="1" ht="20.25" customHeight="1" x14ac:dyDescent="0.3">
      <c r="A4" s="3"/>
      <c r="B4" s="3"/>
      <c r="C4" s="3"/>
      <c r="D4" s="3"/>
      <c r="E4" s="3"/>
      <c r="F4" s="3"/>
      <c r="G4" s="3"/>
    </row>
    <row r="5" spans="1:11" s="6" customFormat="1" ht="29.25" customHeight="1" x14ac:dyDescent="0.3">
      <c r="A5" s="110" t="s">
        <v>26</v>
      </c>
      <c r="B5" s="110"/>
      <c r="C5" s="110"/>
      <c r="D5" s="110"/>
      <c r="E5" s="110"/>
      <c r="F5" s="5" t="s">
        <v>3</v>
      </c>
      <c r="G5" s="5" t="s">
        <v>3</v>
      </c>
    </row>
    <row r="6" spans="1:11" s="6" customFormat="1" ht="16.5" customHeight="1" x14ac:dyDescent="0.3">
      <c r="A6" s="110"/>
      <c r="B6" s="110"/>
      <c r="C6" s="110"/>
      <c r="D6" s="110"/>
      <c r="E6" s="110"/>
      <c r="F6" s="5" t="s">
        <v>27</v>
      </c>
      <c r="G6" s="5" t="s">
        <v>5</v>
      </c>
    </row>
    <row r="7" spans="1:11" s="6" customFormat="1" ht="35.4" customHeight="1" x14ac:dyDescent="0.3">
      <c r="A7" s="109" t="s">
        <v>28</v>
      </c>
      <c r="B7" s="109"/>
      <c r="C7" s="109"/>
      <c r="D7" s="109"/>
      <c r="E7" s="109"/>
      <c r="F7" s="87">
        <f>F8+F10</f>
        <v>2520959</v>
      </c>
      <c r="G7" s="88">
        <f>G8+G10</f>
        <v>14465478</v>
      </c>
    </row>
    <row r="8" spans="1:11" s="6" customFormat="1" ht="16.5" customHeight="1" x14ac:dyDescent="0.3">
      <c r="A8" s="12" t="s">
        <v>7</v>
      </c>
      <c r="B8" s="12" t="s">
        <v>29</v>
      </c>
      <c r="C8" s="12"/>
      <c r="D8" s="12"/>
      <c r="E8" s="16"/>
      <c r="F8" s="17">
        <f>SUM(F9)</f>
        <v>2420000</v>
      </c>
      <c r="G8" s="17">
        <f>G9</f>
        <v>14331779</v>
      </c>
    </row>
    <row r="9" spans="1:11" s="2" customFormat="1" ht="16.5" customHeight="1" x14ac:dyDescent="0.3">
      <c r="A9" s="18"/>
      <c r="B9" s="18" t="s">
        <v>30</v>
      </c>
      <c r="C9" s="18" t="s">
        <v>31</v>
      </c>
      <c r="D9" s="18"/>
      <c r="E9" s="19"/>
      <c r="F9" s="20">
        <f>1800000+620000</f>
        <v>2420000</v>
      </c>
      <c r="G9" s="20">
        <f>1800000+620000+10512000+67203+1332576</f>
        <v>14331779</v>
      </c>
    </row>
    <row r="10" spans="1:11" s="6" customFormat="1" ht="15.75" customHeight="1" x14ac:dyDescent="0.3">
      <c r="A10" s="12" t="s">
        <v>9</v>
      </c>
      <c r="B10" s="12" t="s">
        <v>10</v>
      </c>
      <c r="C10" s="12"/>
      <c r="D10" s="12"/>
      <c r="E10" s="16"/>
      <c r="F10" s="21">
        <f>SUM(F11:F12)</f>
        <v>100959</v>
      </c>
      <c r="G10" s="21">
        <f>SUM(G11:G13)</f>
        <v>133699</v>
      </c>
    </row>
    <row r="11" spans="1:11" s="6" customFormat="1" ht="15.75" customHeight="1" x14ac:dyDescent="0.3">
      <c r="A11" s="12"/>
      <c r="B11" s="18" t="s">
        <v>32</v>
      </c>
      <c r="C11" s="108" t="s">
        <v>33</v>
      </c>
      <c r="D11" s="108"/>
      <c r="E11" s="108"/>
      <c r="F11" s="20">
        <v>100000</v>
      </c>
      <c r="G11" s="20">
        <v>0</v>
      </c>
      <c r="J11" s="2"/>
    </row>
    <row r="12" spans="1:11" s="2" customFormat="1" ht="15" customHeight="1" x14ac:dyDescent="0.3">
      <c r="A12" s="18"/>
      <c r="B12" s="18" t="s">
        <v>34</v>
      </c>
      <c r="C12" s="108" t="s">
        <v>35</v>
      </c>
      <c r="D12" s="108"/>
      <c r="E12" s="108"/>
      <c r="F12" s="20">
        <v>959</v>
      </c>
      <c r="G12" s="20">
        <v>959</v>
      </c>
      <c r="J12" s="13"/>
    </row>
    <row r="13" spans="1:11" s="2" customFormat="1" ht="15" customHeight="1" x14ac:dyDescent="0.3">
      <c r="A13" s="18"/>
      <c r="B13" s="23" t="s">
        <v>36</v>
      </c>
      <c r="C13" s="24" t="s">
        <v>37</v>
      </c>
      <c r="D13" s="24"/>
      <c r="E13" s="22"/>
      <c r="F13" s="20">
        <v>0</v>
      </c>
      <c r="G13" s="20">
        <v>132740</v>
      </c>
      <c r="J13" s="13"/>
    </row>
    <row r="14" spans="1:11" s="6" customFormat="1" ht="34.200000000000003" customHeight="1" x14ac:dyDescent="0.3">
      <c r="A14" s="109" t="s">
        <v>38</v>
      </c>
      <c r="B14" s="109"/>
      <c r="C14" s="109"/>
      <c r="D14" s="109"/>
      <c r="E14" s="109"/>
      <c r="F14" s="87">
        <f>F15</f>
        <v>0</v>
      </c>
      <c r="G14" s="88">
        <f>G15</f>
        <v>9096636</v>
      </c>
      <c r="J14" s="13"/>
      <c r="K14" s="2"/>
    </row>
    <row r="15" spans="1:11" s="2" customFormat="1" ht="15.75" customHeight="1" x14ac:dyDescent="0.3">
      <c r="A15" s="25" t="s">
        <v>7</v>
      </c>
      <c r="B15" s="12" t="s">
        <v>8</v>
      </c>
      <c r="C15" s="12"/>
      <c r="D15" s="26"/>
      <c r="E15" s="27"/>
      <c r="F15" s="21">
        <v>0</v>
      </c>
      <c r="G15" s="28">
        <f>G16</f>
        <v>9096636</v>
      </c>
      <c r="J15" s="13"/>
    </row>
    <row r="16" spans="1:11" s="2" customFormat="1" ht="15.75" customHeight="1" x14ac:dyDescent="0.3">
      <c r="A16" s="29"/>
      <c r="B16" s="24" t="s">
        <v>30</v>
      </c>
      <c r="C16" s="18" t="s">
        <v>31</v>
      </c>
      <c r="D16" s="12"/>
      <c r="E16" s="30"/>
      <c r="F16" s="20">
        <v>0</v>
      </c>
      <c r="G16" s="31">
        <f>G18+G17</f>
        <v>9096636</v>
      </c>
      <c r="J16" s="13"/>
    </row>
    <row r="17" spans="1:10" s="2" customFormat="1" ht="15.75" customHeight="1" x14ac:dyDescent="0.3">
      <c r="A17" s="29"/>
      <c r="B17" s="24"/>
      <c r="C17" s="18"/>
      <c r="D17" s="12"/>
      <c r="E17" s="59" t="s">
        <v>139</v>
      </c>
      <c r="F17" s="20"/>
      <c r="G17" s="102">
        <v>3434576</v>
      </c>
      <c r="J17" s="13"/>
    </row>
    <row r="18" spans="1:10" s="2" customFormat="1" ht="15.75" customHeight="1" x14ac:dyDescent="0.3">
      <c r="A18" s="29"/>
      <c r="B18" s="24"/>
      <c r="C18" s="18"/>
      <c r="D18" s="12"/>
      <c r="E18" s="59" t="s">
        <v>140</v>
      </c>
      <c r="F18" s="20"/>
      <c r="G18" s="102">
        <v>5662060</v>
      </c>
      <c r="J18" s="13"/>
    </row>
    <row r="19" spans="1:10" s="2" customFormat="1" ht="15.75" customHeight="1" x14ac:dyDescent="0.3">
      <c r="A19" s="109" t="s">
        <v>39</v>
      </c>
      <c r="B19" s="109"/>
      <c r="C19" s="109"/>
      <c r="D19" s="109"/>
      <c r="E19" s="109"/>
      <c r="F19" s="87">
        <f t="shared" ref="F19:F20" si="0">F20</f>
        <v>117182741</v>
      </c>
      <c r="G19" s="88">
        <f t="shared" ref="G19:G20" si="1">G20</f>
        <v>117350509</v>
      </c>
      <c r="J19" s="13"/>
    </row>
    <row r="20" spans="1:10" s="2" customFormat="1" ht="15.75" customHeight="1" x14ac:dyDescent="0.3">
      <c r="A20" s="12" t="s">
        <v>11</v>
      </c>
      <c r="B20" s="32" t="s">
        <v>12</v>
      </c>
      <c r="C20" s="12"/>
      <c r="D20" s="12"/>
      <c r="E20" s="16"/>
      <c r="F20" s="33">
        <f t="shared" si="0"/>
        <v>117182741</v>
      </c>
      <c r="G20" s="33">
        <f t="shared" si="1"/>
        <v>117350509</v>
      </c>
      <c r="J20" s="13"/>
    </row>
    <row r="21" spans="1:10" s="2" customFormat="1" ht="15.75" customHeight="1" x14ac:dyDescent="0.3">
      <c r="A21" s="12"/>
      <c r="B21" s="23" t="s">
        <v>40</v>
      </c>
      <c r="C21" s="18" t="s">
        <v>41</v>
      </c>
      <c r="D21" s="34"/>
      <c r="E21" s="19"/>
      <c r="F21" s="35">
        <f>F22+F23</f>
        <v>117182741</v>
      </c>
      <c r="G21" s="35">
        <f>G22+G23</f>
        <v>117350509</v>
      </c>
      <c r="I21" s="13"/>
      <c r="J21" s="13"/>
    </row>
    <row r="22" spans="1:10" s="2" customFormat="1" ht="15.75" customHeight="1" x14ac:dyDescent="0.3">
      <c r="A22" s="29"/>
      <c r="B22" s="24"/>
      <c r="C22" s="18" t="s">
        <v>42</v>
      </c>
      <c r="D22" s="12"/>
      <c r="E22" s="30"/>
      <c r="F22" s="36">
        <v>5000000</v>
      </c>
      <c r="G22" s="37">
        <v>2016812</v>
      </c>
    </row>
    <row r="23" spans="1:10" s="2" customFormat="1" ht="15.75" customHeight="1" x14ac:dyDescent="0.3">
      <c r="A23" s="18"/>
      <c r="B23" s="18"/>
      <c r="C23" s="23" t="s">
        <v>43</v>
      </c>
      <c r="D23" s="18" t="s">
        <v>44</v>
      </c>
      <c r="E23" s="19"/>
      <c r="F23" s="36">
        <f>SUM(F24:F33)</f>
        <v>112182741</v>
      </c>
      <c r="G23" s="38">
        <f>SUM(G24:G34)</f>
        <v>115333697</v>
      </c>
    </row>
    <row r="24" spans="1:10" s="2" customFormat="1" ht="15.75" customHeight="1" x14ac:dyDescent="0.3">
      <c r="A24" s="18"/>
      <c r="B24" s="18"/>
      <c r="C24" s="23"/>
      <c r="D24" s="18"/>
      <c r="E24" s="19" t="s">
        <v>45</v>
      </c>
      <c r="F24" s="36">
        <v>60960000</v>
      </c>
      <c r="G24" s="38">
        <f>60960000-778800</f>
        <v>60181200</v>
      </c>
    </row>
    <row r="25" spans="1:10" s="2" customFormat="1" ht="15.75" customHeight="1" x14ac:dyDescent="0.3">
      <c r="A25" s="18"/>
      <c r="B25" s="18"/>
      <c r="C25" s="18"/>
      <c r="D25" s="18"/>
      <c r="E25" s="22" t="s">
        <v>46</v>
      </c>
      <c r="F25" s="36">
        <v>12700880</v>
      </c>
      <c r="G25" s="38">
        <f>50932762/3247*779</f>
        <v>12219470.772405297</v>
      </c>
    </row>
    <row r="26" spans="1:10" s="2" customFormat="1" ht="15.75" customHeight="1" x14ac:dyDescent="0.3">
      <c r="A26" s="18"/>
      <c r="B26" s="18"/>
      <c r="C26" s="18"/>
      <c r="D26" s="18"/>
      <c r="E26" s="22" t="s">
        <v>47</v>
      </c>
      <c r="F26" s="20">
        <v>4099061</v>
      </c>
      <c r="G26" s="38">
        <f>50932762/3247*261</f>
        <v>4094071.7222051127</v>
      </c>
    </row>
    <row r="27" spans="1:10" s="2" customFormat="1" ht="15.75" customHeight="1" x14ac:dyDescent="0.3">
      <c r="A27" s="18"/>
      <c r="B27" s="18"/>
      <c r="C27" s="18"/>
      <c r="D27" s="18"/>
      <c r="E27" s="22" t="s">
        <v>48</v>
      </c>
      <c r="F27" s="20">
        <v>1257667</v>
      </c>
      <c r="G27" s="38">
        <f>50932762/3247*82</f>
        <v>1286260.0813058207</v>
      </c>
    </row>
    <row r="28" spans="1:10" s="2" customFormat="1" ht="35.4" customHeight="1" x14ac:dyDescent="0.3">
      <c r="A28" s="18"/>
      <c r="B28" s="18"/>
      <c r="C28" s="18"/>
      <c r="D28" s="18"/>
      <c r="E28" s="22" t="s">
        <v>49</v>
      </c>
      <c r="F28" s="20">
        <v>5962271</v>
      </c>
      <c r="G28" s="38">
        <f>50932762/3247*375</f>
        <v>5882286.957191254</v>
      </c>
    </row>
    <row r="29" spans="1:10" s="2" customFormat="1" ht="19.2" customHeight="1" x14ac:dyDescent="0.3">
      <c r="A29" s="18"/>
      <c r="B29" s="18"/>
      <c r="C29" s="18"/>
      <c r="D29" s="18"/>
      <c r="E29" s="22" t="s">
        <v>50</v>
      </c>
      <c r="F29" s="20">
        <v>3322724</v>
      </c>
      <c r="G29" s="38">
        <f>50932762/3247*217</f>
        <v>3403883.385894672</v>
      </c>
    </row>
    <row r="30" spans="1:10" s="2" customFormat="1" ht="18" customHeight="1" x14ac:dyDescent="0.3">
      <c r="A30" s="18"/>
      <c r="B30" s="18"/>
      <c r="C30" s="18"/>
      <c r="D30" s="18"/>
      <c r="E30" s="22" t="s">
        <v>51</v>
      </c>
      <c r="F30" s="20">
        <v>2065057</v>
      </c>
      <c r="G30" s="38">
        <f>50932762/3247*132</f>
        <v>2070565.0089313213</v>
      </c>
    </row>
    <row r="31" spans="1:10" s="2" customFormat="1" ht="35.4" customHeight="1" x14ac:dyDescent="0.3">
      <c r="A31" s="18"/>
      <c r="B31" s="18"/>
      <c r="C31" s="18"/>
      <c r="D31" s="18"/>
      <c r="E31" s="22" t="s">
        <v>52</v>
      </c>
      <c r="F31" s="20">
        <v>1242140</v>
      </c>
      <c r="G31" s="38">
        <f>50932762/3247*73</f>
        <v>1145085.1943332306</v>
      </c>
    </row>
    <row r="32" spans="1:10" s="2" customFormat="1" ht="19.2" customHeight="1" x14ac:dyDescent="0.3">
      <c r="A32" s="18"/>
      <c r="B32" s="18"/>
      <c r="C32" s="18"/>
      <c r="D32" s="18"/>
      <c r="E32" s="22" t="s">
        <v>53</v>
      </c>
      <c r="F32" s="20">
        <v>2282432</v>
      </c>
      <c r="G32" s="38">
        <f>50932762/3247*150</f>
        <v>2352914.7828765013</v>
      </c>
    </row>
    <row r="33" spans="1:8" s="2" customFormat="1" ht="18" customHeight="1" x14ac:dyDescent="0.3">
      <c r="A33" s="18"/>
      <c r="B33" s="18"/>
      <c r="C33" s="18"/>
      <c r="D33" s="18"/>
      <c r="E33" s="22" t="s">
        <v>54</v>
      </c>
      <c r="F33" s="20">
        <v>18290509</v>
      </c>
      <c r="G33" s="38">
        <f>50932762/3247*1178+946568</f>
        <v>19424792.094856791</v>
      </c>
    </row>
    <row r="34" spans="1:8" s="2" customFormat="1" ht="18" customHeight="1" x14ac:dyDescent="0.3">
      <c r="A34" s="18"/>
      <c r="B34" s="18"/>
      <c r="C34" s="18"/>
      <c r="D34" s="18"/>
      <c r="E34" s="22" t="s">
        <v>55</v>
      </c>
      <c r="F34" s="20">
        <v>0</v>
      </c>
      <c r="G34" s="39">
        <v>3273167</v>
      </c>
    </row>
    <row r="35" spans="1:8" s="2" customFormat="1" ht="21" customHeight="1" x14ac:dyDescent="0.3">
      <c r="A35" s="70" t="s">
        <v>56</v>
      </c>
      <c r="B35" s="71"/>
      <c r="C35" s="71"/>
      <c r="D35" s="71"/>
      <c r="E35" s="72"/>
      <c r="F35" s="85">
        <f>F7+F14+F19</f>
        <v>119703700</v>
      </c>
      <c r="G35" s="86">
        <f>G7+G14+G19</f>
        <v>140912623</v>
      </c>
    </row>
    <row r="36" spans="1:8" s="2" customFormat="1" ht="18" customHeight="1" x14ac:dyDescent="0.3">
      <c r="A36" s="40" t="s">
        <v>7</v>
      </c>
      <c r="B36" s="41" t="s">
        <v>8</v>
      </c>
      <c r="C36" s="40"/>
      <c r="D36" s="42"/>
      <c r="E36" s="43"/>
      <c r="F36" s="44">
        <f t="shared" ref="F36" si="2">F8+F15</f>
        <v>2420000</v>
      </c>
      <c r="G36" s="44">
        <f t="shared" ref="G36" si="3">G8+G15</f>
        <v>23428415</v>
      </c>
    </row>
    <row r="37" spans="1:8" s="2" customFormat="1" ht="18" customHeight="1" x14ac:dyDescent="0.3">
      <c r="A37" s="41" t="s">
        <v>9</v>
      </c>
      <c r="B37" s="45" t="s">
        <v>10</v>
      </c>
      <c r="C37" s="45"/>
      <c r="D37" s="45"/>
      <c r="E37" s="45"/>
      <c r="F37" s="44">
        <f>F10</f>
        <v>100959</v>
      </c>
      <c r="G37" s="44">
        <f>G10</f>
        <v>133699</v>
      </c>
      <c r="H37" s="13"/>
    </row>
    <row r="38" spans="1:8" s="2" customFormat="1" ht="18" customHeight="1" x14ac:dyDescent="0.3">
      <c r="A38" s="41" t="s">
        <v>11</v>
      </c>
      <c r="B38" s="41" t="s">
        <v>12</v>
      </c>
      <c r="C38" s="41"/>
      <c r="D38" s="41"/>
      <c r="E38" s="40"/>
      <c r="F38" s="46">
        <f>F20</f>
        <v>117182741</v>
      </c>
      <c r="G38" s="46">
        <f>G20</f>
        <v>117350509</v>
      </c>
    </row>
    <row r="39" spans="1:8" s="2" customFormat="1" ht="18.600000000000001" customHeight="1" x14ac:dyDescent="0.3">
      <c r="A39" s="73" t="s">
        <v>13</v>
      </c>
      <c r="B39" s="74"/>
      <c r="C39" s="74"/>
      <c r="D39" s="74"/>
      <c r="E39" s="74"/>
      <c r="F39" s="75">
        <f>SUM(F36:F38)</f>
        <v>119703700</v>
      </c>
      <c r="G39" s="75">
        <f>SUM(G36:G38)</f>
        <v>140912623</v>
      </c>
    </row>
    <row r="40" spans="1:8" s="2" customFormat="1" ht="18" customHeight="1" x14ac:dyDescent="0.3">
      <c r="A40" s="1"/>
      <c r="B40" s="1"/>
      <c r="C40" s="1"/>
      <c r="D40" s="1"/>
      <c r="E40" s="1"/>
      <c r="F40" s="47"/>
      <c r="G40" s="48"/>
    </row>
    <row r="41" spans="1:8" s="2" customFormat="1" ht="18" customHeight="1" x14ac:dyDescent="0.3">
      <c r="F41" s="3"/>
      <c r="G41" s="3"/>
    </row>
    <row r="42" spans="1:8" s="2" customFormat="1" ht="18" customHeight="1" x14ac:dyDescent="0.3">
      <c r="F42" s="3"/>
      <c r="G42" s="3"/>
    </row>
    <row r="43" spans="1:8" s="2" customFormat="1" ht="18" customHeight="1" x14ac:dyDescent="0.3">
      <c r="A43"/>
      <c r="B43"/>
      <c r="C43"/>
      <c r="D43"/>
      <c r="E43"/>
      <c r="F43" s="15"/>
      <c r="G43" s="15"/>
    </row>
    <row r="44" spans="1:8" s="2" customFormat="1" ht="18" customHeight="1" x14ac:dyDescent="0.3">
      <c r="A44"/>
      <c r="B44"/>
      <c r="C44"/>
      <c r="D44"/>
      <c r="E44"/>
      <c r="F44" s="15"/>
      <c r="G44" s="15"/>
    </row>
    <row r="45" spans="1:8" s="2" customFormat="1" ht="18" customHeight="1" x14ac:dyDescent="0.3">
      <c r="A45"/>
      <c r="B45"/>
      <c r="C45"/>
      <c r="D45"/>
      <c r="E45"/>
      <c r="F45" s="15"/>
      <c r="G45" s="15"/>
    </row>
    <row r="46" spans="1:8" s="2" customFormat="1" ht="18" customHeight="1" x14ac:dyDescent="0.3">
      <c r="A46"/>
      <c r="B46"/>
      <c r="C46"/>
      <c r="D46"/>
      <c r="E46"/>
      <c r="F46" s="15"/>
      <c r="G46" s="15"/>
    </row>
    <row r="47" spans="1:8" s="2" customFormat="1" ht="18" customHeight="1" x14ac:dyDescent="0.3">
      <c r="A47"/>
      <c r="B47"/>
      <c r="C47"/>
      <c r="D47"/>
      <c r="E47"/>
      <c r="F47" s="15"/>
      <c r="G47" s="15"/>
    </row>
    <row r="48" spans="1:8" s="41" customFormat="1" x14ac:dyDescent="0.3">
      <c r="A48"/>
      <c r="B48"/>
      <c r="C48"/>
      <c r="D48"/>
      <c r="E48"/>
      <c r="F48" s="15"/>
      <c r="G48" s="15"/>
    </row>
    <row r="49" spans="1:7" s="1" customFormat="1" x14ac:dyDescent="0.3">
      <c r="A49"/>
      <c r="B49"/>
      <c r="C49"/>
      <c r="D49"/>
      <c r="E49"/>
      <c r="F49" s="15"/>
      <c r="G49" s="15"/>
    </row>
    <row r="50" spans="1:7" s="2" customFormat="1" x14ac:dyDescent="0.3">
      <c r="A50"/>
      <c r="B50"/>
      <c r="C50"/>
      <c r="D50"/>
      <c r="E50"/>
      <c r="F50" s="15"/>
      <c r="G50" s="15"/>
    </row>
    <row r="51" spans="1:7" s="2" customFormat="1" x14ac:dyDescent="0.3">
      <c r="A51"/>
      <c r="B51"/>
      <c r="C51"/>
      <c r="D51"/>
      <c r="E51"/>
      <c r="F51" s="15"/>
      <c r="G51" s="15"/>
    </row>
  </sheetData>
  <sheetProtection selectLockedCells="1" selectUnlockedCells="1"/>
  <mergeCells count="9">
    <mergeCell ref="C12:E12"/>
    <mergeCell ref="A14:E14"/>
    <mergeCell ref="A19:E19"/>
    <mergeCell ref="A1:G1"/>
    <mergeCell ref="A2:G2"/>
    <mergeCell ref="A3:G3"/>
    <mergeCell ref="A5:E6"/>
    <mergeCell ref="A7:E7"/>
    <mergeCell ref="C11:E11"/>
  </mergeCells>
  <printOptions headings="1" gridLines="1"/>
  <pageMargins left="0.7" right="0.7" top="0.75" bottom="0.75" header="0.51180555555555551" footer="0.51180555555555551"/>
  <pageSetup paperSize="9" scale="80" firstPageNumber="0" orientation="portrait" verticalDpi="300" r:id="rId1"/>
  <headerFooter alignWithMargins="0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tabSelected="1" view="pageBreakPreview" zoomScaleNormal="100" zoomScaleSheetLayoutView="100" workbookViewId="0">
      <selection activeCell="G11" sqref="G11"/>
    </sheetView>
  </sheetViews>
  <sheetFormatPr defaultColWidth="8.8984375" defaultRowHeight="15.6" x14ac:dyDescent="0.3"/>
  <cols>
    <col min="1" max="1" width="3.69921875" customWidth="1"/>
    <col min="2" max="2" width="4.19921875" customWidth="1"/>
    <col min="3" max="3" width="6.09765625" customWidth="1"/>
    <col min="4" max="4" width="51.19921875" customWidth="1"/>
    <col min="5" max="5" width="8" style="2" customWidth="1"/>
    <col min="6" max="6" width="16.59765625" style="15" customWidth="1"/>
    <col min="7" max="7" width="17.69921875" customWidth="1"/>
    <col min="8" max="8" width="9.8984375" customWidth="1"/>
  </cols>
  <sheetData>
    <row r="1" spans="1:7" s="1" customFormat="1" x14ac:dyDescent="0.3">
      <c r="A1" s="105"/>
      <c r="B1" s="105"/>
      <c r="C1" s="105"/>
      <c r="D1" s="105"/>
      <c r="E1" s="105"/>
      <c r="F1" s="49"/>
    </row>
    <row r="2" spans="1:7" s="2" customFormat="1" x14ac:dyDescent="0.3">
      <c r="A2" s="106" t="s">
        <v>0</v>
      </c>
      <c r="B2" s="106"/>
      <c r="C2" s="106"/>
      <c r="D2" s="106"/>
      <c r="E2" s="106"/>
      <c r="F2" s="106"/>
      <c r="G2" s="106"/>
    </row>
    <row r="3" spans="1:7" s="2" customFormat="1" x14ac:dyDescent="0.3">
      <c r="A3" s="106" t="s">
        <v>57</v>
      </c>
      <c r="B3" s="106"/>
      <c r="C3" s="106"/>
      <c r="D3" s="106"/>
      <c r="E3" s="106"/>
      <c r="F3" s="106"/>
      <c r="G3" s="106"/>
    </row>
    <row r="4" spans="1:7" s="6" customFormat="1" ht="13.8" customHeight="1" x14ac:dyDescent="0.3">
      <c r="A4" s="50"/>
      <c r="B4" s="50"/>
      <c r="C4" s="50"/>
      <c r="D4" s="50"/>
      <c r="E4" s="51"/>
      <c r="F4" s="50"/>
    </row>
    <row r="5" spans="1:7" s="6" customFormat="1" ht="21" customHeight="1" x14ac:dyDescent="0.3">
      <c r="A5" s="113" t="s">
        <v>58</v>
      </c>
      <c r="B5" s="113"/>
      <c r="C5" s="113"/>
      <c r="D5" s="113"/>
      <c r="E5" s="114" t="s">
        <v>59</v>
      </c>
      <c r="F5" s="52" t="s">
        <v>3</v>
      </c>
      <c r="G5" s="52" t="s">
        <v>3</v>
      </c>
    </row>
    <row r="6" spans="1:7" s="6" customFormat="1" ht="19.5" customHeight="1" x14ac:dyDescent="0.3">
      <c r="A6" s="113"/>
      <c r="B6" s="113"/>
      <c r="C6" s="113"/>
      <c r="D6" s="113"/>
      <c r="E6" s="114"/>
      <c r="F6" s="4" t="s">
        <v>4</v>
      </c>
      <c r="G6" s="4" t="s">
        <v>5</v>
      </c>
    </row>
    <row r="7" spans="1:7" s="6" customFormat="1" ht="31.5" customHeight="1" x14ac:dyDescent="0.3">
      <c r="A7" s="115" t="s">
        <v>28</v>
      </c>
      <c r="B7" s="115"/>
      <c r="C7" s="115"/>
      <c r="D7" s="115"/>
      <c r="E7" s="76">
        <v>23</v>
      </c>
      <c r="F7" s="77">
        <f>SUM(F8+F15+F18+F46)</f>
        <v>119703700.315</v>
      </c>
      <c r="G7" s="77">
        <f>SUM(G8+G15+G18+G46+G48)</f>
        <v>130869418.54000001</v>
      </c>
    </row>
    <row r="8" spans="1:7" s="6" customFormat="1" x14ac:dyDescent="0.3">
      <c r="A8" s="53" t="s">
        <v>15</v>
      </c>
      <c r="B8" s="53" t="s">
        <v>16</v>
      </c>
      <c r="C8" s="53"/>
      <c r="D8" s="54"/>
      <c r="E8" s="55"/>
      <c r="F8" s="56">
        <f>SUM(F9)</f>
        <v>86983769</v>
      </c>
      <c r="G8" s="56">
        <f>SUM(G9)</f>
        <v>93641769</v>
      </c>
    </row>
    <row r="9" spans="1:7" s="2" customFormat="1" x14ac:dyDescent="0.3">
      <c r="A9" s="57"/>
      <c r="B9" s="57" t="s">
        <v>60</v>
      </c>
      <c r="C9" s="57"/>
      <c r="D9" s="22" t="s">
        <v>61</v>
      </c>
      <c r="E9" s="58"/>
      <c r="F9" s="20">
        <f>SUM(F10:F14)</f>
        <v>86983769</v>
      </c>
      <c r="G9" s="20">
        <f>SUM(G10:G14)</f>
        <v>93641769</v>
      </c>
    </row>
    <row r="10" spans="1:7" s="2" customFormat="1" x14ac:dyDescent="0.3">
      <c r="A10" s="57"/>
      <c r="B10" s="57"/>
      <c r="C10" s="57" t="s">
        <v>62</v>
      </c>
      <c r="D10" s="22" t="s">
        <v>63</v>
      </c>
      <c r="E10" s="58"/>
      <c r="F10" s="38">
        <f>70544400+134500+7054440</f>
        <v>77733340</v>
      </c>
      <c r="G10" s="38">
        <f>77733340-173131</f>
        <v>77560209</v>
      </c>
    </row>
    <row r="11" spans="1:7" s="2" customFormat="1" x14ac:dyDescent="0.3">
      <c r="A11" s="57"/>
      <c r="B11" s="57"/>
      <c r="C11" s="57" t="s">
        <v>64</v>
      </c>
      <c r="D11" s="22" t="s">
        <v>65</v>
      </c>
      <c r="E11" s="58"/>
      <c r="F11" s="38">
        <v>3500000</v>
      </c>
      <c r="G11" s="38">
        <f>3500000+5958000+173131</f>
        <v>9631131</v>
      </c>
    </row>
    <row r="12" spans="1:7" s="2" customFormat="1" x14ac:dyDescent="0.3">
      <c r="A12" s="57"/>
      <c r="B12" s="57"/>
      <c r="C12" s="57" t="s">
        <v>66</v>
      </c>
      <c r="D12" s="22" t="s">
        <v>67</v>
      </c>
      <c r="E12" s="58"/>
      <c r="F12" s="20">
        <v>3420077</v>
      </c>
      <c r="G12" s="20">
        <v>3420077</v>
      </c>
    </row>
    <row r="13" spans="1:7" s="2" customFormat="1" x14ac:dyDescent="0.3">
      <c r="A13" s="57"/>
      <c r="B13" s="57"/>
      <c r="C13" s="57" t="s">
        <v>68</v>
      </c>
      <c r="D13" s="22" t="s">
        <v>69</v>
      </c>
      <c r="E13" s="58"/>
      <c r="F13" s="38">
        <v>1430352</v>
      </c>
      <c r="G13" s="38">
        <v>1430352</v>
      </c>
    </row>
    <row r="14" spans="1:7" s="2" customFormat="1" x14ac:dyDescent="0.3">
      <c r="A14" s="57"/>
      <c r="B14" s="57"/>
      <c r="C14" s="57" t="s">
        <v>70</v>
      </c>
      <c r="D14" s="22" t="s">
        <v>71</v>
      </c>
      <c r="E14" s="58"/>
      <c r="F14" s="37">
        <v>900000</v>
      </c>
      <c r="G14" s="37">
        <v>1600000</v>
      </c>
    </row>
    <row r="15" spans="1:7" s="6" customFormat="1" ht="18" customHeight="1" x14ac:dyDescent="0.3">
      <c r="A15" s="53" t="s">
        <v>17</v>
      </c>
      <c r="B15" s="53" t="s">
        <v>18</v>
      </c>
      <c r="D15" s="30"/>
      <c r="E15" s="30"/>
      <c r="F15" s="56">
        <f>SUM(F16:F17)</f>
        <v>17195931.315000001</v>
      </c>
      <c r="G15" s="56">
        <f>SUM(G16:G17)</f>
        <v>18241074</v>
      </c>
    </row>
    <row r="16" spans="1:7" s="2" customFormat="1" x14ac:dyDescent="0.3">
      <c r="A16" s="57"/>
      <c r="B16" s="57"/>
      <c r="C16" s="2" t="s">
        <v>72</v>
      </c>
      <c r="D16" s="59"/>
      <c r="E16" s="59"/>
      <c r="F16" s="38">
        <f>(F10+F12+F14+F11)*0.195</f>
        <v>16682916.315000001</v>
      </c>
      <c r="G16" s="38">
        <f>16682916+1042098</f>
        <v>17725014</v>
      </c>
    </row>
    <row r="17" spans="1:7" s="2" customFormat="1" x14ac:dyDescent="0.3">
      <c r="A17" s="57"/>
      <c r="B17" s="57"/>
      <c r="C17" s="2" t="s">
        <v>73</v>
      </c>
      <c r="D17" s="59"/>
      <c r="E17" s="59"/>
      <c r="F17" s="38">
        <v>513015</v>
      </c>
      <c r="G17" s="38">
        <f>519157-11152+8055</f>
        <v>516060</v>
      </c>
    </row>
    <row r="18" spans="1:7" s="6" customFormat="1" x14ac:dyDescent="0.3">
      <c r="A18" s="53" t="s">
        <v>19</v>
      </c>
      <c r="B18" s="53" t="s">
        <v>20</v>
      </c>
      <c r="C18" s="53"/>
      <c r="D18" s="54"/>
      <c r="E18" s="55"/>
      <c r="F18" s="56">
        <f>SUM(F19+F26+F32+F41+F43)</f>
        <v>13324000</v>
      </c>
      <c r="G18" s="56">
        <f>SUM(G19+G26+G32+G41+G43)</f>
        <v>15286576</v>
      </c>
    </row>
    <row r="19" spans="1:7" s="2" customFormat="1" x14ac:dyDescent="0.3">
      <c r="A19" s="57"/>
      <c r="B19" s="57" t="s">
        <v>74</v>
      </c>
      <c r="C19" s="57"/>
      <c r="D19" s="22" t="s">
        <v>75</v>
      </c>
      <c r="E19" s="58"/>
      <c r="F19" s="20">
        <f>SUM(F20+F22)</f>
        <v>2135000</v>
      </c>
      <c r="G19" s="20">
        <f>SUM(G20+G22)</f>
        <v>2235000</v>
      </c>
    </row>
    <row r="20" spans="1:7" s="2" customFormat="1" x14ac:dyDescent="0.3">
      <c r="A20" s="57"/>
      <c r="B20" s="57"/>
      <c r="C20" s="2" t="s">
        <v>76</v>
      </c>
      <c r="D20" s="22" t="s">
        <v>77</v>
      </c>
      <c r="E20" s="60"/>
      <c r="F20" s="20">
        <f>SUM(F21:F21)</f>
        <v>400000</v>
      </c>
      <c r="G20" s="20">
        <f>G21</f>
        <v>400000</v>
      </c>
    </row>
    <row r="21" spans="1:7" s="2" customFormat="1" x14ac:dyDescent="0.3">
      <c r="A21" s="57"/>
      <c r="B21" s="57"/>
      <c r="D21" s="22" t="s">
        <v>78</v>
      </c>
      <c r="E21" s="60"/>
      <c r="F21" s="38">
        <v>400000</v>
      </c>
      <c r="G21" s="38">
        <v>400000</v>
      </c>
    </row>
    <row r="22" spans="1:7" s="2" customFormat="1" x14ac:dyDescent="0.3">
      <c r="A22" s="57"/>
      <c r="B22" s="57"/>
      <c r="C22" s="2" t="s">
        <v>79</v>
      </c>
      <c r="D22" s="22" t="s">
        <v>80</v>
      </c>
      <c r="E22" s="60"/>
      <c r="F22" s="20">
        <f>SUM(F23:F25)</f>
        <v>1735000</v>
      </c>
      <c r="G22" s="20">
        <f>SUM(G23:G25)</f>
        <v>1835000</v>
      </c>
    </row>
    <row r="23" spans="1:7" s="2" customFormat="1" x14ac:dyDescent="0.3">
      <c r="A23" s="57"/>
      <c r="B23" s="57"/>
      <c r="D23" s="22" t="s">
        <v>81</v>
      </c>
      <c r="E23" s="60"/>
      <c r="F23" s="38">
        <v>1200000</v>
      </c>
      <c r="G23" s="38">
        <v>1300000</v>
      </c>
    </row>
    <row r="24" spans="1:7" s="2" customFormat="1" x14ac:dyDescent="0.3">
      <c r="A24" s="57"/>
      <c r="B24" s="57"/>
      <c r="D24" s="22" t="s">
        <v>82</v>
      </c>
      <c r="E24" s="60"/>
      <c r="F24" s="38">
        <v>300000</v>
      </c>
      <c r="G24" s="38">
        <v>300000</v>
      </c>
    </row>
    <row r="25" spans="1:7" s="2" customFormat="1" x14ac:dyDescent="0.3">
      <c r="A25" s="57"/>
      <c r="B25" s="57"/>
      <c r="D25" s="22" t="s">
        <v>83</v>
      </c>
      <c r="E25" s="60"/>
      <c r="F25" s="38">
        <v>235000</v>
      </c>
      <c r="G25" s="38">
        <v>235000</v>
      </c>
    </row>
    <row r="26" spans="1:7" s="2" customFormat="1" x14ac:dyDescent="0.3">
      <c r="A26" s="57"/>
      <c r="B26" s="57" t="s">
        <v>84</v>
      </c>
      <c r="C26" s="61"/>
      <c r="D26" s="22" t="s">
        <v>85</v>
      </c>
      <c r="E26" s="62"/>
      <c r="F26" s="20">
        <f>SUM(F27+F31)</f>
        <v>1468000</v>
      </c>
      <c r="G26" s="20">
        <f>SUM(G27+G31)</f>
        <v>1428000</v>
      </c>
    </row>
    <row r="27" spans="1:7" s="2" customFormat="1" x14ac:dyDescent="0.3">
      <c r="A27" s="57"/>
      <c r="B27" s="57"/>
      <c r="C27" s="57" t="s">
        <v>86</v>
      </c>
      <c r="D27" s="22" t="s">
        <v>87</v>
      </c>
      <c r="E27" s="58"/>
      <c r="F27" s="20">
        <f>SUM(F28:F30)</f>
        <v>1324000</v>
      </c>
      <c r="G27" s="20">
        <f>SUM(G28:G30)</f>
        <v>1284000</v>
      </c>
    </row>
    <row r="28" spans="1:7" s="2" customFormat="1" x14ac:dyDescent="0.3">
      <c r="A28" s="57"/>
      <c r="B28" s="57"/>
      <c r="C28" s="57"/>
      <c r="D28" s="22" t="s">
        <v>88</v>
      </c>
      <c r="E28" s="58"/>
      <c r="F28" s="38">
        <v>84000</v>
      </c>
      <c r="G28" s="38">
        <v>84000</v>
      </c>
    </row>
    <row r="29" spans="1:7" s="2" customFormat="1" x14ac:dyDescent="0.3">
      <c r="A29" s="57"/>
      <c r="B29" s="57"/>
      <c r="C29" s="57"/>
      <c r="D29" s="22" t="s">
        <v>89</v>
      </c>
      <c r="E29" s="58"/>
      <c r="F29" s="37">
        <f>1200000</f>
        <v>1200000</v>
      </c>
      <c r="G29" s="37">
        <f>1200000</f>
        <v>1200000</v>
      </c>
    </row>
    <row r="30" spans="1:7" s="2" customFormat="1" x14ac:dyDescent="0.3">
      <c r="A30" s="57"/>
      <c r="B30" s="57"/>
      <c r="C30" s="57"/>
      <c r="D30" s="22" t="s">
        <v>90</v>
      </c>
      <c r="E30" s="58"/>
      <c r="F30" s="38">
        <v>40000</v>
      </c>
      <c r="G30" s="38">
        <v>0</v>
      </c>
    </row>
    <row r="31" spans="1:7" s="2" customFormat="1" x14ac:dyDescent="0.3">
      <c r="A31" s="57"/>
      <c r="B31" s="57"/>
      <c r="C31" s="57" t="s">
        <v>91</v>
      </c>
      <c r="D31" s="22" t="s">
        <v>92</v>
      </c>
      <c r="E31" s="62"/>
      <c r="F31" s="38">
        <v>144000</v>
      </c>
      <c r="G31" s="38">
        <v>144000</v>
      </c>
    </row>
    <row r="32" spans="1:7" s="2" customFormat="1" x14ac:dyDescent="0.3">
      <c r="A32" s="57"/>
      <c r="B32" s="57" t="s">
        <v>93</v>
      </c>
      <c r="C32" s="61"/>
      <c r="D32" s="22" t="s">
        <v>94</v>
      </c>
      <c r="E32" s="62"/>
      <c r="F32" s="20">
        <f>SUM(F33+F34+F36+F37+F35)</f>
        <v>8120000</v>
      </c>
      <c r="G32" s="20">
        <f>SUM(G33+G34+G36+G37+G35)</f>
        <v>9922576</v>
      </c>
    </row>
    <row r="33" spans="1:7" s="2" customFormat="1" x14ac:dyDescent="0.3">
      <c r="A33" s="57"/>
      <c r="B33" s="57"/>
      <c r="C33" s="2" t="s">
        <v>95</v>
      </c>
      <c r="D33" s="22" t="s">
        <v>96</v>
      </c>
      <c r="E33" s="60"/>
      <c r="F33" s="20">
        <v>600000</v>
      </c>
      <c r="G33" s="20">
        <v>450000</v>
      </c>
    </row>
    <row r="34" spans="1:7" s="2" customFormat="1" x14ac:dyDescent="0.3">
      <c r="A34" s="57"/>
      <c r="B34" s="57"/>
      <c r="C34" s="2" t="s">
        <v>97</v>
      </c>
      <c r="D34" s="22" t="s">
        <v>98</v>
      </c>
      <c r="E34" s="60"/>
      <c r="F34" s="20">
        <v>300000</v>
      </c>
      <c r="G34" s="20">
        <v>0</v>
      </c>
    </row>
    <row r="35" spans="1:7" s="2" customFormat="1" x14ac:dyDescent="0.3">
      <c r="A35" s="57"/>
      <c r="B35" s="57"/>
      <c r="C35" s="2" t="s">
        <v>99</v>
      </c>
      <c r="D35" s="22" t="s">
        <v>100</v>
      </c>
      <c r="E35" s="60"/>
      <c r="F35" s="20">
        <v>100000</v>
      </c>
      <c r="G35" s="20">
        <v>100000</v>
      </c>
    </row>
    <row r="36" spans="1:7" s="2" customFormat="1" x14ac:dyDescent="0.3">
      <c r="A36" s="57"/>
      <c r="B36" s="57"/>
      <c r="C36" s="2" t="s">
        <v>101</v>
      </c>
      <c r="D36" s="22" t="s">
        <v>102</v>
      </c>
      <c r="E36" s="60"/>
      <c r="F36" s="20">
        <v>1800000</v>
      </c>
      <c r="G36" s="20">
        <v>1800000</v>
      </c>
    </row>
    <row r="37" spans="1:7" s="2" customFormat="1" x14ac:dyDescent="0.3">
      <c r="A37" s="57"/>
      <c r="B37" s="57"/>
      <c r="C37" s="2" t="s">
        <v>103</v>
      </c>
      <c r="D37" s="22" t="s">
        <v>104</v>
      </c>
      <c r="E37" s="60"/>
      <c r="F37" s="20">
        <f>SUM(F38:F40)</f>
        <v>5320000</v>
      </c>
      <c r="G37" s="20">
        <f>SUM(G38:G40)</f>
        <v>7572576</v>
      </c>
    </row>
    <row r="38" spans="1:7" s="2" customFormat="1" x14ac:dyDescent="0.3">
      <c r="A38" s="57"/>
      <c r="B38" s="57"/>
      <c r="D38" s="22" t="s">
        <v>105</v>
      </c>
      <c r="E38" s="60"/>
      <c r="F38" s="20">
        <v>3500000</v>
      </c>
      <c r="G38" s="20">
        <v>4100000</v>
      </c>
    </row>
    <row r="39" spans="1:7" s="2" customFormat="1" x14ac:dyDescent="0.3">
      <c r="A39" s="57"/>
      <c r="B39" s="57"/>
      <c r="D39" s="22" t="s">
        <v>106</v>
      </c>
      <c r="E39" s="60"/>
      <c r="F39" s="20">
        <v>320000</v>
      </c>
      <c r="G39" s="20">
        <v>340000</v>
      </c>
    </row>
    <row r="40" spans="1:7" s="2" customFormat="1" x14ac:dyDescent="0.3">
      <c r="A40" s="57"/>
      <c r="B40" s="57"/>
      <c r="D40" s="22" t="s">
        <v>107</v>
      </c>
      <c r="E40" s="60"/>
      <c r="F40" s="20">
        <f>180000+200000+40000+400000+80000+600000</f>
        <v>1500000</v>
      </c>
      <c r="G40" s="20">
        <f>180000+200000+40000+400000+80000+600000+1800000-167424</f>
        <v>3132576</v>
      </c>
    </row>
    <row r="41" spans="1:7" s="2" customFormat="1" x14ac:dyDescent="0.3">
      <c r="A41" s="57"/>
      <c r="B41" s="57" t="s">
        <v>108</v>
      </c>
      <c r="D41" s="22" t="s">
        <v>109</v>
      </c>
      <c r="E41" s="60"/>
      <c r="F41" s="20">
        <f>SUM(F42)</f>
        <v>700000</v>
      </c>
      <c r="G41" s="20">
        <v>700000</v>
      </c>
    </row>
    <row r="42" spans="1:7" s="2" customFormat="1" x14ac:dyDescent="0.3">
      <c r="A42" s="57"/>
      <c r="B42" s="57"/>
      <c r="C42" s="2" t="s">
        <v>110</v>
      </c>
      <c r="D42" s="22" t="s">
        <v>111</v>
      </c>
      <c r="E42" s="60"/>
      <c r="F42" s="20">
        <v>700000</v>
      </c>
      <c r="G42" s="20">
        <v>700000</v>
      </c>
    </row>
    <row r="43" spans="1:7" s="2" customFormat="1" x14ac:dyDescent="0.3">
      <c r="A43" s="57"/>
      <c r="B43" s="57" t="s">
        <v>112</v>
      </c>
      <c r="D43" s="22" t="s">
        <v>113</v>
      </c>
      <c r="E43" s="60"/>
      <c r="F43" s="20">
        <f>SUM(F44:F45)</f>
        <v>901000</v>
      </c>
      <c r="G43" s="20">
        <f>SUM(G44:G45)</f>
        <v>1001000</v>
      </c>
    </row>
    <row r="44" spans="1:7" s="2" customFormat="1" x14ac:dyDescent="0.3">
      <c r="A44" s="57"/>
      <c r="B44" s="57"/>
      <c r="C44" s="2" t="s">
        <v>114</v>
      </c>
      <c r="D44" s="22" t="s">
        <v>115</v>
      </c>
      <c r="E44" s="60"/>
      <c r="F44" s="20">
        <v>900000</v>
      </c>
      <c r="G44" s="20">
        <v>1000000</v>
      </c>
    </row>
    <row r="45" spans="1:7" s="2" customFormat="1" x14ac:dyDescent="0.3">
      <c r="A45" s="57"/>
      <c r="B45" s="57"/>
      <c r="C45" s="2" t="s">
        <v>116</v>
      </c>
      <c r="D45" s="22" t="s">
        <v>117</v>
      </c>
      <c r="E45" s="60"/>
      <c r="F45" s="20">
        <v>1000</v>
      </c>
      <c r="G45" s="20">
        <v>1000</v>
      </c>
    </row>
    <row r="46" spans="1:7" s="2" customFormat="1" x14ac:dyDescent="0.3">
      <c r="A46" s="53" t="s">
        <v>21</v>
      </c>
      <c r="B46" s="111" t="s">
        <v>22</v>
      </c>
      <c r="C46" s="111"/>
      <c r="D46" s="111"/>
      <c r="E46" s="60"/>
      <c r="F46" s="20">
        <f>SUM(F47)</f>
        <v>2200000</v>
      </c>
      <c r="G46" s="20">
        <f>SUM(G47)</f>
        <v>2200000</v>
      </c>
    </row>
    <row r="47" spans="1:7" s="2" customFormat="1" x14ac:dyDescent="0.3">
      <c r="A47" s="57"/>
      <c r="B47" s="57"/>
      <c r="C47" s="2" t="s">
        <v>118</v>
      </c>
      <c r="D47" s="22" t="s">
        <v>119</v>
      </c>
      <c r="E47" s="60"/>
      <c r="F47" s="20">
        <v>2200000</v>
      </c>
      <c r="G47" s="20">
        <v>2200000</v>
      </c>
    </row>
    <row r="48" spans="1:7" s="2" customFormat="1" x14ac:dyDescent="0.3">
      <c r="A48" s="6" t="s">
        <v>133</v>
      </c>
      <c r="B48" s="6" t="s">
        <v>134</v>
      </c>
      <c r="C48" s="6"/>
      <c r="D48" s="6"/>
      <c r="E48" s="6"/>
      <c r="F48" s="91">
        <v>0</v>
      </c>
      <c r="G48" s="92">
        <f>SUM(G49:G50)</f>
        <v>1499999.54</v>
      </c>
    </row>
    <row r="49" spans="1:7" s="2" customFormat="1" x14ac:dyDescent="0.3">
      <c r="A49" s="6"/>
      <c r="B49" s="57" t="s">
        <v>135</v>
      </c>
      <c r="C49" s="6"/>
      <c r="D49" s="57" t="s">
        <v>136</v>
      </c>
      <c r="E49" s="6"/>
      <c r="F49" s="91">
        <v>0</v>
      </c>
      <c r="G49" s="38">
        <v>1181102</v>
      </c>
    </row>
    <row r="50" spans="1:7" s="2" customFormat="1" x14ac:dyDescent="0.3">
      <c r="A50" s="6"/>
      <c r="B50" s="57" t="s">
        <v>137</v>
      </c>
      <c r="C50" s="6"/>
      <c r="D50" s="57" t="s">
        <v>138</v>
      </c>
      <c r="E50" s="6"/>
      <c r="F50" s="93">
        <v>0</v>
      </c>
      <c r="G50" s="94">
        <f>G49*0.27</f>
        <v>318897.54000000004</v>
      </c>
    </row>
    <row r="51" spans="1:7" s="6" customFormat="1" ht="37.200000000000003" customHeight="1" x14ac:dyDescent="0.3">
      <c r="A51" s="112" t="s">
        <v>132</v>
      </c>
      <c r="B51" s="112"/>
      <c r="C51" s="112"/>
      <c r="D51" s="112"/>
      <c r="E51" s="76"/>
      <c r="F51" s="78">
        <f>F52+F56+F59</f>
        <v>0</v>
      </c>
      <c r="G51" s="78">
        <f>G52+G57+G60+G70</f>
        <v>9096636</v>
      </c>
    </row>
    <row r="52" spans="1:7" s="6" customFormat="1" x14ac:dyDescent="0.3">
      <c r="A52" s="53" t="s">
        <v>15</v>
      </c>
      <c r="B52" s="53" t="s">
        <v>16</v>
      </c>
      <c r="C52" s="63"/>
      <c r="D52" s="101"/>
      <c r="E52" s="55"/>
      <c r="F52" s="56">
        <v>0</v>
      </c>
      <c r="G52" s="21">
        <f>G53</f>
        <v>7009927</v>
      </c>
    </row>
    <row r="53" spans="1:7" s="2" customFormat="1" x14ac:dyDescent="0.3">
      <c r="A53" s="57"/>
      <c r="B53" s="57" t="s">
        <v>120</v>
      </c>
      <c r="C53" s="57"/>
      <c r="D53" s="100" t="s">
        <v>121</v>
      </c>
      <c r="E53" s="58"/>
      <c r="F53" s="20">
        <v>0</v>
      </c>
      <c r="G53" s="20">
        <f>SUM(G54:G56)</f>
        <v>7009927</v>
      </c>
    </row>
    <row r="54" spans="1:7" s="2" customFormat="1" x14ac:dyDescent="0.3">
      <c r="A54" s="57"/>
      <c r="B54" s="57"/>
      <c r="C54" s="57" t="s">
        <v>122</v>
      </c>
      <c r="D54" s="100" t="s">
        <v>123</v>
      </c>
      <c r="E54" s="58"/>
      <c r="F54" s="38">
        <v>0</v>
      </c>
      <c r="G54" s="38">
        <f>965000+965000</f>
        <v>1930000</v>
      </c>
    </row>
    <row r="55" spans="1:7" s="2" customFormat="1" x14ac:dyDescent="0.3">
      <c r="A55" s="57"/>
      <c r="B55" s="57"/>
      <c r="C55" s="57" t="s">
        <v>124</v>
      </c>
      <c r="D55" s="100" t="s">
        <v>125</v>
      </c>
      <c r="E55" s="58"/>
      <c r="F55" s="38">
        <v>0</v>
      </c>
      <c r="G55" s="38">
        <f>1575000+3150000</f>
        <v>4725000</v>
      </c>
    </row>
    <row r="56" spans="1:7" s="6" customFormat="1" ht="18" customHeight="1" x14ac:dyDescent="0.3">
      <c r="A56" s="57"/>
      <c r="B56" s="57"/>
      <c r="C56" s="57" t="s">
        <v>124</v>
      </c>
      <c r="D56" s="100" t="s">
        <v>141</v>
      </c>
      <c r="E56" s="58"/>
      <c r="F56" s="20">
        <v>0</v>
      </c>
      <c r="G56" s="20">
        <v>354927</v>
      </c>
    </row>
    <row r="57" spans="1:7" s="2" customFormat="1" x14ac:dyDescent="0.3">
      <c r="A57" s="53" t="s">
        <v>17</v>
      </c>
      <c r="B57" s="53" t="s">
        <v>18</v>
      </c>
      <c r="C57" s="6"/>
      <c r="D57" s="30"/>
      <c r="E57" s="30"/>
      <c r="F57" s="56">
        <v>0</v>
      </c>
      <c r="G57" s="21">
        <f>SUM(G58:G59)</f>
        <v>1415300</v>
      </c>
    </row>
    <row r="58" spans="1:7" s="2" customFormat="1" x14ac:dyDescent="0.3">
      <c r="A58" s="57"/>
      <c r="B58" s="57"/>
      <c r="C58" s="2" t="s">
        <v>72</v>
      </c>
      <c r="D58" s="59"/>
      <c r="E58" s="59"/>
      <c r="F58" s="38"/>
      <c r="G58" s="38">
        <f>532341+703238+74319</f>
        <v>1309898</v>
      </c>
    </row>
    <row r="59" spans="1:7" s="6" customFormat="1" x14ac:dyDescent="0.3">
      <c r="A59" s="57"/>
      <c r="B59" s="57"/>
      <c r="C59" s="57" t="s">
        <v>126</v>
      </c>
      <c r="D59" s="59"/>
      <c r="E59" s="59"/>
      <c r="F59" s="20"/>
      <c r="G59" s="20">
        <v>105402</v>
      </c>
    </row>
    <row r="60" spans="1:7" s="2" customFormat="1" x14ac:dyDescent="0.3">
      <c r="A60" s="53" t="s">
        <v>19</v>
      </c>
      <c r="B60" s="53" t="s">
        <v>20</v>
      </c>
      <c r="C60" s="53"/>
      <c r="D60" s="101"/>
      <c r="E60" s="55"/>
      <c r="F60" s="56"/>
      <c r="G60" s="21">
        <f>G61+G63+G65+G68</f>
        <v>658360</v>
      </c>
    </row>
    <row r="61" spans="1:7" s="2" customFormat="1" x14ac:dyDescent="0.3">
      <c r="A61" s="57"/>
      <c r="B61" s="57" t="s">
        <v>74</v>
      </c>
      <c r="C61" s="57"/>
      <c r="D61" s="100" t="s">
        <v>75</v>
      </c>
      <c r="E61" s="58"/>
      <c r="F61" s="20">
        <v>0</v>
      </c>
      <c r="G61" s="20">
        <f>G62</f>
        <v>177240</v>
      </c>
    </row>
    <row r="62" spans="1:7" s="2" customFormat="1" x14ac:dyDescent="0.3">
      <c r="A62" s="57"/>
      <c r="B62" s="57"/>
      <c r="C62" s="2" t="s">
        <v>79</v>
      </c>
      <c r="D62" s="100" t="s">
        <v>80</v>
      </c>
      <c r="E62" s="60"/>
      <c r="F62" s="20"/>
      <c r="G62" s="20">
        <v>177240</v>
      </c>
    </row>
    <row r="63" spans="1:7" s="2" customFormat="1" x14ac:dyDescent="0.3">
      <c r="A63" s="57"/>
      <c r="B63" s="57" t="s">
        <v>84</v>
      </c>
      <c r="D63" s="100" t="s">
        <v>85</v>
      </c>
      <c r="E63" s="60"/>
      <c r="F63" s="20"/>
      <c r="G63" s="20">
        <f>G64</f>
        <v>9558</v>
      </c>
    </row>
    <row r="64" spans="1:7" s="2" customFormat="1" x14ac:dyDescent="0.3">
      <c r="A64" s="57"/>
      <c r="B64" s="57"/>
      <c r="C64" s="57" t="s">
        <v>91</v>
      </c>
      <c r="D64" s="100" t="s">
        <v>92</v>
      </c>
      <c r="E64" s="60"/>
      <c r="F64" s="20"/>
      <c r="G64" s="20">
        <v>9558</v>
      </c>
    </row>
    <row r="65" spans="1:7" s="2" customFormat="1" x14ac:dyDescent="0.3">
      <c r="A65" s="57"/>
      <c r="B65" s="57" t="s">
        <v>93</v>
      </c>
      <c r="C65" s="61"/>
      <c r="D65" s="100" t="s">
        <v>94</v>
      </c>
      <c r="E65" s="62"/>
      <c r="F65" s="20">
        <v>0</v>
      </c>
      <c r="G65" s="20">
        <f>G66+G67</f>
        <v>354797</v>
      </c>
    </row>
    <row r="66" spans="1:7" s="2" customFormat="1" x14ac:dyDescent="0.3">
      <c r="A66" s="57"/>
      <c r="B66" s="57"/>
      <c r="C66" s="2" t="s">
        <v>95</v>
      </c>
      <c r="D66" s="100" t="s">
        <v>96</v>
      </c>
      <c r="E66" s="60"/>
      <c r="F66" s="20">
        <v>0</v>
      </c>
      <c r="G66" s="20">
        <v>51284</v>
      </c>
    </row>
    <row r="67" spans="1:7" s="2" customFormat="1" x14ac:dyDescent="0.3">
      <c r="A67" s="57"/>
      <c r="B67" s="57"/>
      <c r="C67" s="2" t="s">
        <v>103</v>
      </c>
      <c r="D67" s="100" t="s">
        <v>104</v>
      </c>
      <c r="E67" s="60"/>
      <c r="F67" s="20">
        <v>0</v>
      </c>
      <c r="G67" s="20">
        <v>303513</v>
      </c>
    </row>
    <row r="68" spans="1:7" s="2" customFormat="1" x14ac:dyDescent="0.3">
      <c r="A68" s="57"/>
      <c r="B68" s="57" t="s">
        <v>112</v>
      </c>
      <c r="D68" s="100" t="s">
        <v>113</v>
      </c>
      <c r="E68" s="60"/>
      <c r="F68" s="20">
        <v>0</v>
      </c>
      <c r="G68" s="20">
        <f>SUM(G69:G69)</f>
        <v>116765</v>
      </c>
    </row>
    <row r="69" spans="1:7" s="2" customFormat="1" x14ac:dyDescent="0.3">
      <c r="A69" s="57"/>
      <c r="B69" s="57"/>
      <c r="C69" s="2" t="s">
        <v>114</v>
      </c>
      <c r="D69" s="100" t="s">
        <v>115</v>
      </c>
      <c r="E69" s="60"/>
      <c r="F69" s="20">
        <v>0</v>
      </c>
      <c r="G69" s="20">
        <v>116765</v>
      </c>
    </row>
    <row r="70" spans="1:7" s="2" customFormat="1" x14ac:dyDescent="0.3">
      <c r="A70" s="53" t="s">
        <v>21</v>
      </c>
      <c r="B70" s="111" t="s">
        <v>22</v>
      </c>
      <c r="C70" s="111"/>
      <c r="D70" s="111"/>
      <c r="E70" s="60"/>
      <c r="F70" s="20">
        <f>SUM(F71)</f>
        <v>0</v>
      </c>
      <c r="G70" s="21">
        <f>SUM(G71)</f>
        <v>13049</v>
      </c>
    </row>
    <row r="71" spans="1:7" s="2" customFormat="1" x14ac:dyDescent="0.3">
      <c r="A71" s="57"/>
      <c r="B71" s="57"/>
      <c r="C71" s="2" t="s">
        <v>142</v>
      </c>
      <c r="D71" s="100" t="s">
        <v>143</v>
      </c>
      <c r="E71" s="60"/>
      <c r="F71" s="20">
        <v>0</v>
      </c>
      <c r="G71" s="20">
        <v>13049</v>
      </c>
    </row>
    <row r="72" spans="1:7" s="2" customFormat="1" ht="31.2" customHeight="1" x14ac:dyDescent="0.3">
      <c r="A72" s="112" t="s">
        <v>127</v>
      </c>
      <c r="B72" s="112"/>
      <c r="C72" s="112"/>
      <c r="D72" s="112"/>
      <c r="E72" s="79"/>
      <c r="F72" s="78"/>
      <c r="G72" s="78">
        <f>G73+G79+G82</f>
        <v>946568</v>
      </c>
    </row>
    <row r="73" spans="1:7" s="6" customFormat="1" x14ac:dyDescent="0.3">
      <c r="A73" s="53" t="s">
        <v>15</v>
      </c>
      <c r="B73" s="53" t="s">
        <v>16</v>
      </c>
      <c r="C73" s="63"/>
      <c r="D73" s="54"/>
      <c r="E73" s="55"/>
      <c r="F73" s="56">
        <v>0</v>
      </c>
      <c r="G73" s="21">
        <f>G74+G76</f>
        <v>575000</v>
      </c>
    </row>
    <row r="74" spans="1:7" s="2" customFormat="1" x14ac:dyDescent="0.3">
      <c r="A74" s="57"/>
      <c r="B74" s="57" t="s">
        <v>60</v>
      </c>
      <c r="C74" s="57"/>
      <c r="D74" s="89" t="s">
        <v>61</v>
      </c>
      <c r="E74" s="58"/>
      <c r="F74" s="20">
        <v>0</v>
      </c>
      <c r="G74" s="20">
        <f>G75</f>
        <v>160000</v>
      </c>
    </row>
    <row r="75" spans="1:7" s="2" customFormat="1" x14ac:dyDescent="0.3">
      <c r="A75" s="57"/>
      <c r="B75" s="57"/>
      <c r="C75" s="57" t="s">
        <v>64</v>
      </c>
      <c r="D75" s="89" t="s">
        <v>65</v>
      </c>
      <c r="E75" s="58"/>
      <c r="F75" s="38">
        <v>0</v>
      </c>
      <c r="G75" s="38">
        <v>160000</v>
      </c>
    </row>
    <row r="76" spans="1:7" s="2" customFormat="1" x14ac:dyDescent="0.3">
      <c r="A76" s="57"/>
      <c r="B76" s="57" t="s">
        <v>120</v>
      </c>
      <c r="C76" s="57"/>
      <c r="D76" s="22" t="s">
        <v>121</v>
      </c>
      <c r="E76" s="58"/>
      <c r="F76" s="20">
        <v>0</v>
      </c>
      <c r="G76" s="20">
        <f>SUM(G77:G78)</f>
        <v>415000</v>
      </c>
    </row>
    <row r="77" spans="1:7" s="2" customFormat="1" x14ac:dyDescent="0.3">
      <c r="A77" s="57"/>
      <c r="B77" s="57"/>
      <c r="C77" s="57" t="s">
        <v>122</v>
      </c>
      <c r="D77" s="22" t="s">
        <v>123</v>
      </c>
      <c r="E77" s="58"/>
      <c r="F77" s="38">
        <v>0</v>
      </c>
      <c r="G77" s="38">
        <f>20000+35000+30000+155000</f>
        <v>240000</v>
      </c>
    </row>
    <row r="78" spans="1:7" s="2" customFormat="1" x14ac:dyDescent="0.3">
      <c r="A78" s="57"/>
      <c r="B78" s="57"/>
      <c r="C78" s="57" t="s">
        <v>124</v>
      </c>
      <c r="D78" s="22" t="s">
        <v>125</v>
      </c>
      <c r="E78" s="58"/>
      <c r="F78" s="38">
        <v>0</v>
      </c>
      <c r="G78" s="38">
        <v>175000</v>
      </c>
    </row>
    <row r="79" spans="1:7" s="6" customFormat="1" ht="18" customHeight="1" x14ac:dyDescent="0.3">
      <c r="A79" s="53" t="s">
        <v>17</v>
      </c>
      <c r="B79" s="53" t="s">
        <v>18</v>
      </c>
      <c r="D79" s="30"/>
      <c r="E79" s="30"/>
      <c r="F79" s="56">
        <v>0</v>
      </c>
      <c r="G79" s="21">
        <f>SUM(G80:G81)</f>
        <v>119128</v>
      </c>
    </row>
    <row r="80" spans="1:7" s="2" customFormat="1" x14ac:dyDescent="0.3">
      <c r="A80" s="57"/>
      <c r="B80" s="57"/>
      <c r="C80" s="2" t="s">
        <v>72</v>
      </c>
      <c r="D80" s="59"/>
      <c r="E80" s="59"/>
      <c r="F80" s="38"/>
      <c r="G80" s="38">
        <f>28000+3150+5513+4725+24412+30625+12225</f>
        <v>108650</v>
      </c>
    </row>
    <row r="81" spans="1:8" s="2" customFormat="1" x14ac:dyDescent="0.3">
      <c r="A81" s="57"/>
      <c r="B81" s="57"/>
      <c r="C81" s="57" t="s">
        <v>126</v>
      </c>
      <c r="D81" s="59"/>
      <c r="E81" s="59"/>
      <c r="F81" s="20"/>
      <c r="G81" s="20">
        <v>10478</v>
      </c>
    </row>
    <row r="82" spans="1:8" s="6" customFormat="1" x14ac:dyDescent="0.3">
      <c r="A82" s="53" t="s">
        <v>19</v>
      </c>
      <c r="B82" s="53" t="s">
        <v>20</v>
      </c>
      <c r="C82" s="53"/>
      <c r="D82" s="54"/>
      <c r="E82" s="55"/>
      <c r="F82" s="56"/>
      <c r="G82" s="21">
        <f>G83+G85+G88+G90</f>
        <v>252440</v>
      </c>
    </row>
    <row r="83" spans="1:8" s="2" customFormat="1" x14ac:dyDescent="0.3">
      <c r="A83" s="57"/>
      <c r="B83" s="57" t="s">
        <v>74</v>
      </c>
      <c r="C83" s="57"/>
      <c r="D83" s="22" t="s">
        <v>75</v>
      </c>
      <c r="E83" s="58"/>
      <c r="F83" s="20">
        <v>0</v>
      </c>
      <c r="G83" s="20">
        <v>0</v>
      </c>
    </row>
    <row r="84" spans="1:8" s="2" customFormat="1" x14ac:dyDescent="0.3">
      <c r="A84" s="57"/>
      <c r="B84" s="57"/>
      <c r="C84" s="2" t="s">
        <v>79</v>
      </c>
      <c r="D84" s="22" t="s">
        <v>80</v>
      </c>
      <c r="E84" s="60"/>
      <c r="F84" s="20"/>
      <c r="G84" s="20">
        <v>0</v>
      </c>
    </row>
    <row r="85" spans="1:8" s="2" customFormat="1" x14ac:dyDescent="0.3">
      <c r="A85" s="57"/>
      <c r="B85" s="57" t="s">
        <v>93</v>
      </c>
      <c r="C85" s="61"/>
      <c r="D85" s="22" t="s">
        <v>94</v>
      </c>
      <c r="E85" s="62"/>
      <c r="F85" s="20">
        <v>0</v>
      </c>
      <c r="G85" s="20">
        <f>SUM(G86:G87)</f>
        <v>235485</v>
      </c>
    </row>
    <row r="86" spans="1:8" s="2" customFormat="1" x14ac:dyDescent="0.3">
      <c r="A86" s="57"/>
      <c r="B86" s="57"/>
      <c r="C86" s="2" t="s">
        <v>95</v>
      </c>
      <c r="D86" s="22" t="s">
        <v>96</v>
      </c>
      <c r="E86" s="60"/>
      <c r="F86" s="20">
        <v>0</v>
      </c>
      <c r="G86" s="20">
        <v>0</v>
      </c>
    </row>
    <row r="87" spans="1:8" s="2" customFormat="1" x14ac:dyDescent="0.3">
      <c r="A87" s="57"/>
      <c r="B87" s="57"/>
      <c r="C87" s="2" t="s">
        <v>103</v>
      </c>
      <c r="D87" s="22" t="s">
        <v>104</v>
      </c>
      <c r="E87" s="60"/>
      <c r="F87" s="20">
        <v>0</v>
      </c>
      <c r="G87" s="20">
        <f>46614+188871</f>
        <v>235485</v>
      </c>
    </row>
    <row r="88" spans="1:8" s="2" customFormat="1" x14ac:dyDescent="0.3">
      <c r="A88" s="57"/>
      <c r="B88" s="57" t="s">
        <v>108</v>
      </c>
      <c r="D88" s="22" t="s">
        <v>109</v>
      </c>
      <c r="E88" s="60"/>
      <c r="F88" s="20">
        <v>0</v>
      </c>
      <c r="G88" s="20">
        <f>G89</f>
        <v>4369</v>
      </c>
    </row>
    <row r="89" spans="1:8" s="2" customFormat="1" x14ac:dyDescent="0.3">
      <c r="A89" s="57"/>
      <c r="B89" s="57"/>
      <c r="C89" s="2" t="s">
        <v>110</v>
      </c>
      <c r="D89" s="22" t="s">
        <v>111</v>
      </c>
      <c r="E89" s="60"/>
      <c r="F89" s="20">
        <v>0</v>
      </c>
      <c r="G89" s="20">
        <f>1656+1579+1134</f>
        <v>4369</v>
      </c>
    </row>
    <row r="90" spans="1:8" s="2" customFormat="1" x14ac:dyDescent="0.3">
      <c r="A90" s="57"/>
      <c r="B90" s="57" t="s">
        <v>112</v>
      </c>
      <c r="D90" s="22" t="s">
        <v>113</v>
      </c>
      <c r="E90" s="60"/>
      <c r="F90" s="20">
        <v>0</v>
      </c>
      <c r="G90" s="20">
        <f>G91</f>
        <v>12586</v>
      </c>
    </row>
    <row r="91" spans="1:8" s="2" customFormat="1" x14ac:dyDescent="0.3">
      <c r="A91" s="57"/>
      <c r="B91" s="57"/>
      <c r="C91" s="2" t="s">
        <v>114</v>
      </c>
      <c r="D91" s="22" t="s">
        <v>115</v>
      </c>
      <c r="E91" s="60"/>
      <c r="F91" s="20">
        <v>0</v>
      </c>
      <c r="G91" s="20">
        <v>12586</v>
      </c>
    </row>
    <row r="92" spans="1:8" s="2" customFormat="1" ht="18" customHeight="1" x14ac:dyDescent="0.3">
      <c r="A92" s="80" t="s">
        <v>128</v>
      </c>
      <c r="B92" s="80"/>
      <c r="C92" s="80"/>
      <c r="D92" s="81"/>
      <c r="E92" s="82"/>
      <c r="F92" s="83">
        <f>F7+F51</f>
        <v>119703700.315</v>
      </c>
      <c r="G92" s="83">
        <f>G7+G51+G72</f>
        <v>140912622.54000002</v>
      </c>
    </row>
    <row r="93" spans="1:8" s="2" customFormat="1" x14ac:dyDescent="0.3">
      <c r="A93" s="41" t="s">
        <v>15</v>
      </c>
      <c r="B93" s="40" t="s">
        <v>16</v>
      </c>
      <c r="C93" s="40"/>
      <c r="D93" s="40"/>
      <c r="E93" s="40"/>
      <c r="F93" s="28">
        <f>F8+F52</f>
        <v>86983769</v>
      </c>
      <c r="G93" s="28">
        <f>G8+G52+G73</f>
        <v>101226696</v>
      </c>
      <c r="H93" s="64"/>
    </row>
    <row r="94" spans="1:8" s="2" customFormat="1" x14ac:dyDescent="0.3">
      <c r="A94" s="41" t="s">
        <v>17</v>
      </c>
      <c r="B94" s="45" t="s">
        <v>18</v>
      </c>
      <c r="C94" s="45"/>
      <c r="D94" s="45"/>
      <c r="E94" s="45"/>
      <c r="F94" s="28">
        <f>F15+F56</f>
        <v>17195931.315000001</v>
      </c>
      <c r="G94" s="28">
        <f>G15+G57+G79</f>
        <v>19775502</v>
      </c>
      <c r="H94" s="64"/>
    </row>
    <row r="95" spans="1:8" s="2" customFormat="1" x14ac:dyDescent="0.3">
      <c r="A95" s="41" t="s">
        <v>19</v>
      </c>
      <c r="B95" s="45" t="s">
        <v>20</v>
      </c>
      <c r="C95" s="45"/>
      <c r="D95" s="45"/>
      <c r="E95" s="45"/>
      <c r="F95" s="28">
        <f>F18+F59</f>
        <v>13324000</v>
      </c>
      <c r="G95" s="28">
        <f>G18+G60+G82</f>
        <v>16197376</v>
      </c>
      <c r="H95" s="64"/>
    </row>
    <row r="96" spans="1:8" s="2" customFormat="1" x14ac:dyDescent="0.3">
      <c r="A96" s="41" t="s">
        <v>21</v>
      </c>
      <c r="B96" s="45" t="s">
        <v>129</v>
      </c>
      <c r="C96" s="45"/>
      <c r="D96" s="45"/>
      <c r="E96" s="45"/>
      <c r="F96" s="28">
        <f>F46</f>
        <v>2200000</v>
      </c>
      <c r="G96" s="28">
        <f>G46+G70</f>
        <v>2213049</v>
      </c>
      <c r="H96" s="64"/>
    </row>
    <row r="97" spans="1:8" s="2" customFormat="1" x14ac:dyDescent="0.3">
      <c r="A97" s="41" t="s">
        <v>133</v>
      </c>
      <c r="B97" s="45" t="s">
        <v>134</v>
      </c>
      <c r="C97" s="45"/>
      <c r="D97" s="45"/>
      <c r="E97" s="45"/>
      <c r="F97" s="95">
        <v>0</v>
      </c>
      <c r="G97" s="95">
        <f>G48</f>
        <v>1499999.54</v>
      </c>
      <c r="H97" s="64"/>
    </row>
    <row r="98" spans="1:8" s="6" customFormat="1" ht="20.399999999999999" customHeight="1" x14ac:dyDescent="0.3">
      <c r="A98" s="73" t="s">
        <v>130</v>
      </c>
      <c r="B98" s="71"/>
      <c r="C98" s="71"/>
      <c r="D98" s="71"/>
      <c r="E98" s="71"/>
      <c r="F98" s="84">
        <f>SUM(F93:F96)</f>
        <v>119703700.315</v>
      </c>
      <c r="G98" s="84">
        <f>SUM(G93:G97)</f>
        <v>140912622.53999999</v>
      </c>
      <c r="H98" s="65"/>
    </row>
    <row r="99" spans="1:8" s="2" customFormat="1" ht="16.2" x14ac:dyDescent="0.35">
      <c r="A99" s="57"/>
      <c r="B99" s="66" t="s">
        <v>131</v>
      </c>
      <c r="C99" s="66"/>
      <c r="D99" s="67"/>
      <c r="E99" s="68">
        <v>23</v>
      </c>
      <c r="F99" s="69"/>
      <c r="G99" s="96"/>
    </row>
    <row r="100" spans="1:8" s="2" customFormat="1" x14ac:dyDescent="0.3">
      <c r="F100" s="39"/>
      <c r="G100" s="97"/>
    </row>
  </sheetData>
  <sheetProtection selectLockedCells="1" selectUnlockedCells="1"/>
  <mergeCells count="10">
    <mergeCell ref="B46:D46"/>
    <mergeCell ref="A51:D51"/>
    <mergeCell ref="A72:D72"/>
    <mergeCell ref="A1:E1"/>
    <mergeCell ref="A2:G2"/>
    <mergeCell ref="A3:G3"/>
    <mergeCell ref="A5:D6"/>
    <mergeCell ref="E5:E6"/>
    <mergeCell ref="A7:D7"/>
    <mergeCell ref="B70:D70"/>
  </mergeCells>
  <printOptions headings="1" gridLines="1"/>
  <pageMargins left="0.7" right="0.7" top="0.75" bottom="0.75" header="0.3" footer="0.3"/>
  <pageSetup paperSize="9" scale="73" firstPageNumber="0" orientation="portrait" verticalDpi="300" r:id="rId1"/>
  <headerFooter alignWithMargins="0">
    <oddFooter>&amp;C&amp;P. oldal</oddFooter>
  </headerFooter>
  <rowBreaks count="1" manualBreakCount="1">
    <brk id="5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4</vt:i4>
      </vt:variant>
    </vt:vector>
  </HeadingPairs>
  <TitlesOfParts>
    <vt:vector size="7" baseType="lpstr">
      <vt:lpstr>Mérleg</vt:lpstr>
      <vt:lpstr>Bevételek</vt:lpstr>
      <vt:lpstr>Kiadások</vt:lpstr>
      <vt:lpstr>Kiadások!Nyomtatási_cím</vt:lpstr>
      <vt:lpstr>Bevételek!Nyomtatási_terület</vt:lpstr>
      <vt:lpstr>Kiadások!Nyomtatási_terület</vt:lpstr>
      <vt:lpstr>Mérleg!Nyomtatási_terület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2019-12-06T11:31:00Z</cp:lastPrinted>
  <dcterms:created xsi:type="dcterms:W3CDTF">2019-09-05T06:28:05Z</dcterms:created>
  <dcterms:modified xsi:type="dcterms:W3CDTF">2019-12-06T12:23:18Z</dcterms:modified>
</cp:coreProperties>
</file>