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ELŐTERJESZTÉSEK\2023\Közös Hivatal együttes\Május 15\beszámoló a 2022. évi munkáról\"/>
    </mc:Choice>
  </mc:AlternateContent>
  <bookViews>
    <workbookView xWindow="0" yWindow="0" windowWidth="28800" windowHeight="11835" tabRatio="812" activeTab="8"/>
  </bookViews>
  <sheets>
    <sheet name="Mérleg" sheetId="1" r:id="rId1"/>
    <sheet name="Bevételek" sheetId="2" r:id="rId2"/>
    <sheet name="Kiadások" sheetId="3" r:id="rId3"/>
    <sheet name="Vagyon" sheetId="4" r:id="rId4"/>
    <sheet name="Maradvány" sheetId="5" r:id="rId5"/>
    <sheet name="Eredménykimutatás" sheetId="6" r:id="rId6"/>
    <sheet name="Személyi juttatások" sheetId="7" r:id="rId7"/>
    <sheet name="Cofog szerinti kiadások" sheetId="8" r:id="rId8"/>
    <sheet name="Eszközök állománya" sheetId="9" r:id="rId9"/>
  </sheets>
  <externalReferences>
    <externalReference r:id="rId10"/>
  </externalReferences>
  <definedNames>
    <definedName name="_xlnm.Print_Titles" localSheetId="2">Kiadások!$1:$7</definedName>
    <definedName name="_xlnm.Print_Area" localSheetId="1">Bevételek!$A$1:$J$41</definedName>
    <definedName name="_xlnm.Print_Area" localSheetId="2">Kiadások!$A$1:$J$112</definedName>
    <definedName name="_xlnm.Print_Area" localSheetId="0">Mérleg!$A$1:$H$19</definedName>
    <definedName name="_xlnm.Print_Area" localSheetId="3">Vagyon!$A$1:$F$34</definedName>
  </definedNames>
  <calcPr calcId="15251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J26" i="2"/>
  <c r="J18" i="2"/>
  <c r="J12" i="2"/>
  <c r="J9" i="2"/>
  <c r="J11" i="2"/>
  <c r="J8" i="3"/>
  <c r="I52" i="3"/>
  <c r="I23" i="3"/>
  <c r="J20" i="3"/>
  <c r="J21" i="3"/>
  <c r="J22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5" i="3"/>
  <c r="J56" i="3"/>
  <c r="J58" i="3"/>
  <c r="J59" i="3"/>
  <c r="J60" i="3"/>
  <c r="J12" i="3"/>
  <c r="J13" i="3"/>
  <c r="J14" i="3"/>
  <c r="J15" i="3"/>
  <c r="J16" i="3"/>
  <c r="J17" i="3"/>
  <c r="J18" i="3"/>
  <c r="J19" i="3"/>
  <c r="J9" i="3"/>
  <c r="J10" i="3"/>
  <c r="I9" i="3"/>
  <c r="J1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83" i="3"/>
  <c r="J84" i="3"/>
  <c r="J85" i="3"/>
  <c r="J86" i="3"/>
  <c r="J87" i="3"/>
  <c r="J88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66" i="3"/>
  <c r="J65" i="3"/>
  <c r="J63" i="3"/>
  <c r="J64" i="3"/>
  <c r="I103" i="3"/>
  <c r="I96" i="3" s="1"/>
  <c r="I100" i="3"/>
  <c r="I97" i="3"/>
  <c r="I91" i="3"/>
  <c r="I90" i="3" s="1"/>
  <c r="J90" i="3" s="1"/>
  <c r="I86" i="3"/>
  <c r="I83" i="3"/>
  <c r="I81" i="3"/>
  <c r="I78" i="3"/>
  <c r="I76" i="3"/>
  <c r="I75" i="3" s="1"/>
  <c r="I74" i="3" s="1"/>
  <c r="I71" i="3"/>
  <c r="I69" i="3"/>
  <c r="I67" i="3" s="1"/>
  <c r="I66" i="3" s="1"/>
  <c r="I68" i="3"/>
  <c r="I63" i="3"/>
  <c r="I62" i="3"/>
  <c r="I61" i="3" s="1"/>
  <c r="J61" i="3" s="1"/>
  <c r="I57" i="3"/>
  <c r="I110" i="3" s="1"/>
  <c r="J110" i="3" s="1"/>
  <c r="I54" i="3"/>
  <c r="J54" i="3" s="1"/>
  <c r="I37" i="3"/>
  <c r="J37" i="3" s="1"/>
  <c r="I31" i="3"/>
  <c r="I24" i="3"/>
  <c r="I20" i="3"/>
  <c r="I107" i="3" s="1"/>
  <c r="J107" i="3" s="1"/>
  <c r="I18" i="3"/>
  <c r="I10" i="3"/>
  <c r="I36" i="2"/>
  <c r="I35" i="2"/>
  <c r="I34" i="2"/>
  <c r="I33" i="2"/>
  <c r="I32" i="2"/>
  <c r="I31" i="2"/>
  <c r="I30" i="2"/>
  <c r="I29" i="2"/>
  <c r="I28" i="2"/>
  <c r="I21" i="2"/>
  <c r="I20" i="2" s="1"/>
  <c r="I19" i="2" s="1"/>
  <c r="I17" i="2"/>
  <c r="I16" i="2"/>
  <c r="I15" i="2" s="1"/>
  <c r="I14" i="2" s="1"/>
  <c r="I10" i="2"/>
  <c r="I39" i="2" s="1"/>
  <c r="I8" i="2"/>
  <c r="G13" i="1" l="1"/>
  <c r="G19" i="1"/>
  <c r="G10" i="1"/>
  <c r="I27" i="2"/>
  <c r="J62" i="3"/>
  <c r="I109" i="3"/>
  <c r="J109" i="3" s="1"/>
  <c r="J91" i="3"/>
  <c r="I7" i="2"/>
  <c r="J57" i="3"/>
  <c r="J23" i="3"/>
  <c r="I65" i="3"/>
  <c r="I89" i="3"/>
  <c r="J89" i="3" s="1"/>
  <c r="I38" i="2"/>
  <c r="I13" i="2"/>
  <c r="H45" i="3"/>
  <c r="H41" i="3"/>
  <c r="H96" i="3"/>
  <c r="I25" i="2" l="1"/>
  <c r="G9" i="1"/>
  <c r="I108" i="3"/>
  <c r="J108" i="3" s="1"/>
  <c r="I106" i="3"/>
  <c r="I8" i="3"/>
  <c r="H16" i="2"/>
  <c r="J16" i="2" s="1"/>
  <c r="H17" i="3"/>
  <c r="I24" i="2" l="1"/>
  <c r="I105" i="3"/>
  <c r="J105" i="3" s="1"/>
  <c r="I111" i="3"/>
  <c r="J111" i="3" s="1"/>
  <c r="J106" i="3"/>
  <c r="H32" i="3"/>
  <c r="I40" i="2" l="1"/>
  <c r="I23" i="2"/>
  <c r="I37" i="2" s="1"/>
  <c r="H100" i="3"/>
  <c r="H18" i="3"/>
  <c r="I41" i="2" l="1"/>
  <c r="G11" i="1"/>
  <c r="G8" i="1" s="1"/>
  <c r="G12" i="1" s="1"/>
  <c r="H17" i="2"/>
  <c r="J17" i="2" s="1"/>
  <c r="G17" i="2"/>
  <c r="H83" i="3"/>
  <c r="H76" i="3" l="1"/>
  <c r="H71" i="3"/>
  <c r="H22" i="2"/>
  <c r="J22" i="2" s="1"/>
  <c r="H91" i="3"/>
  <c r="H90" i="3" s="1"/>
  <c r="H97" i="3"/>
  <c r="H103" i="3" l="1"/>
  <c r="G103" i="3"/>
  <c r="G100" i="3"/>
  <c r="G98" i="3"/>
  <c r="G97" i="3" s="1"/>
  <c r="H94" i="3"/>
  <c r="G94" i="3"/>
  <c r="G91" i="3"/>
  <c r="G90" i="3" s="1"/>
  <c r="H21" i="2"/>
  <c r="G21" i="2"/>
  <c r="G20" i="2" s="1"/>
  <c r="G19" i="2" s="1"/>
  <c r="H20" i="2" l="1"/>
  <c r="J21" i="2"/>
  <c r="H89" i="3"/>
  <c r="G96" i="3"/>
  <c r="G89" i="3" s="1"/>
  <c r="H57" i="3"/>
  <c r="H27" i="3"/>
  <c r="H19" i="2" l="1"/>
  <c r="J19" i="2" s="1"/>
  <c r="J20" i="2"/>
  <c r="H10" i="3"/>
  <c r="H9" i="3" s="1"/>
  <c r="H86" i="3" l="1"/>
  <c r="H110" i="3" s="1"/>
  <c r="H54" i="3"/>
  <c r="H36" i="2"/>
  <c r="J36" i="2" s="1"/>
  <c r="H35" i="2"/>
  <c r="J35" i="2" s="1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0" i="3" l="1"/>
  <c r="H107" i="3" s="1"/>
  <c r="G27" i="2"/>
  <c r="G25" i="2" s="1"/>
  <c r="G24" i="2" s="1"/>
  <c r="G23" i="2" s="1"/>
  <c r="G67" i="3"/>
  <c r="G66" i="3" s="1"/>
  <c r="G71" i="3"/>
  <c r="G76" i="3"/>
  <c r="G75" i="3" s="1"/>
  <c r="G78" i="3"/>
  <c r="G81" i="3"/>
  <c r="G83" i="3"/>
  <c r="G86" i="3"/>
  <c r="G63" i="3"/>
  <c r="G62" i="3" s="1"/>
  <c r="G59" i="3"/>
  <c r="G54" i="3"/>
  <c r="G52" i="3"/>
  <c r="G47" i="3"/>
  <c r="G46" i="3"/>
  <c r="G34" i="3"/>
  <c r="G32" i="3" s="1"/>
  <c r="G31" i="3" s="1"/>
  <c r="G27" i="3"/>
  <c r="G25" i="3"/>
  <c r="G17" i="3"/>
  <c r="G21" i="3" s="1"/>
  <c r="G15" i="2"/>
  <c r="G14" i="2" s="1"/>
  <c r="G13" i="2" s="1"/>
  <c r="G10" i="2"/>
  <c r="G39" i="2" s="1"/>
  <c r="G9" i="2"/>
  <c r="G8" i="2" s="1"/>
  <c r="E18" i="1"/>
  <c r="E17" i="1"/>
  <c r="E16" i="1"/>
  <c r="E15" i="1"/>
  <c r="E14" i="1"/>
  <c r="E11" i="1"/>
  <c r="E10" i="1"/>
  <c r="E9" i="1"/>
  <c r="G20" i="3" l="1"/>
  <c r="G107" i="3" s="1"/>
  <c r="G7" i="2"/>
  <c r="G37" i="2" s="1"/>
  <c r="G41" i="3"/>
  <c r="G37" i="3" s="1"/>
  <c r="G10" i="3"/>
  <c r="G9" i="3" s="1"/>
  <c r="G106" i="3" s="1"/>
  <c r="E13" i="1"/>
  <c r="E19" i="1" s="1"/>
  <c r="E8" i="1"/>
  <c r="E12" i="1" s="1"/>
  <c r="G24" i="3"/>
  <c r="G23" i="3" s="1"/>
  <c r="G74" i="3"/>
  <c r="G65" i="3" s="1"/>
  <c r="G61" i="3"/>
  <c r="G109" i="3"/>
  <c r="G60" i="3"/>
  <c r="G57" i="3" s="1"/>
  <c r="G38" i="2"/>
  <c r="G40" i="2"/>
  <c r="G110" i="3" l="1"/>
  <c r="G8" i="3"/>
  <c r="G105" i="3" s="1"/>
  <c r="G108" i="3"/>
  <c r="G41" i="2"/>
  <c r="G111" i="3" l="1"/>
  <c r="H28" i="2"/>
  <c r="J28" i="2" s="1"/>
  <c r="H15" i="2" l="1"/>
  <c r="H14" i="2" l="1"/>
  <c r="J14" i="2" s="1"/>
  <c r="J15" i="2"/>
  <c r="H13" i="2"/>
  <c r="J13" i="2" s="1"/>
  <c r="H81" i="3"/>
  <c r="H78" i="3"/>
  <c r="H75" i="3"/>
  <c r="H69" i="3"/>
  <c r="H68" i="3"/>
  <c r="H74" i="3" l="1"/>
  <c r="H67" i="3"/>
  <c r="H66" i="3" s="1"/>
  <c r="H106" i="3" s="1"/>
  <c r="H63" i="3"/>
  <c r="H65" i="3" l="1"/>
  <c r="H47" i="3" l="1"/>
  <c r="H46" i="3"/>
  <c r="H62" i="3" l="1"/>
  <c r="H52" i="3"/>
  <c r="H37" i="3"/>
  <c r="H31" i="3"/>
  <c r="H25" i="3"/>
  <c r="H109" i="3" l="1"/>
  <c r="F17" i="1" s="1"/>
  <c r="H17" i="1" s="1"/>
  <c r="H61" i="3"/>
  <c r="H24" i="3"/>
  <c r="H23" i="3" s="1"/>
  <c r="H108" i="3" l="1"/>
  <c r="F16" i="1" s="1"/>
  <c r="H16" i="1" s="1"/>
  <c r="H8" i="3"/>
  <c r="F14" i="1"/>
  <c r="H14" i="1" s="1"/>
  <c r="F15" i="1"/>
  <c r="H15" i="1" s="1"/>
  <c r="H27" i="2"/>
  <c r="H25" i="2" l="1"/>
  <c r="J25" i="2" s="1"/>
  <c r="J27" i="2"/>
  <c r="H8" i="2"/>
  <c r="H10" i="2"/>
  <c r="J10" i="2" s="1"/>
  <c r="H38" i="2" l="1"/>
  <c r="J38" i="2" s="1"/>
  <c r="J8" i="2"/>
  <c r="H39" i="2"/>
  <c r="H24" i="2"/>
  <c r="H7" i="2"/>
  <c r="J7" i="2" s="1"/>
  <c r="F10" i="1" l="1"/>
  <c r="H10" i="1" s="1"/>
  <c r="J39" i="2"/>
  <c r="H40" i="2"/>
  <c r="F11" i="1" s="1"/>
  <c r="H11" i="1" s="1"/>
  <c r="J24" i="2"/>
  <c r="F9" i="1"/>
  <c r="H9" i="1" s="1"/>
  <c r="H23" i="2"/>
  <c r="H105" i="3"/>
  <c r="H111" i="3"/>
  <c r="F18" i="1"/>
  <c r="F13" i="1" l="1"/>
  <c r="H18" i="1"/>
  <c r="H37" i="2"/>
  <c r="J37" i="2" s="1"/>
  <c r="J23" i="2"/>
  <c r="H41" i="2"/>
  <c r="J41" i="2" s="1"/>
  <c r="J40" i="2"/>
  <c r="F8" i="1"/>
  <c r="F19" i="1" l="1"/>
  <c r="H19" i="1" s="1"/>
  <c r="H13" i="1"/>
  <c r="F12" i="1"/>
  <c r="H12" i="1" s="1"/>
  <c r="H8" i="1"/>
</calcChain>
</file>

<file path=xl/sharedStrings.xml><?xml version="1.0" encoding="utf-8"?>
<sst xmlns="http://schemas.openxmlformats.org/spreadsheetml/2006/main" count="945" uniqueCount="512">
  <si>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</si>
  <si>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</si>
  <si>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</si>
  <si>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</si>
  <si>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</si>
  <si>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</si>
  <si>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</si>
  <si>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</si>
  <si>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</si>
  <si>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</si>
  <si>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</si>
  <si>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</si>
  <si>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</si>
  <si>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</si>
  <si>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</si>
  <si>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</si>
  <si>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</si>
  <si>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</si>
  <si>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</si>
  <si>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</si>
  <si>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</si>
  <si>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</si>
  <si>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</si>
  <si>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</si>
  <si>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</si>
  <si>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</si>
  <si>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</si>
  <si>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</si>
  <si>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</si>
  <si>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</si>
  <si>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</si>
  <si>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</si>
  <si>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</si>
  <si>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</si>
  <si>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</si>
  <si>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</si>
  <si>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</si>
  <si>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</si>
  <si>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</si>
  <si>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</si>
  <si>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</si>
  <si>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</si>
  <si>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</si>
  <si>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</si>
  <si>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</si>
  <si>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</si>
  <si>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</si>
  <si>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</si>
  <si>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</si>
  <si>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</si>
  <si>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</si>
  <si>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</si>
  <si>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</si>
  <si>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</si>
  <si>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</si>
  <si>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</si>
  <si>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</si>
  <si>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</si>
  <si>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</si>
  <si>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</si>
  <si>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</si>
  <si>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</si>
  <si>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</si>
  <si>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Egyéb információhordozó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</si>
  <si>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</si>
  <si>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</si>
  <si>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</si>
  <si>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</si>
  <si>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</si>
  <si>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</si>
  <si>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</si>
  <si>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</si>
  <si>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</si>
  <si>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</si>
  <si>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</si>
  <si>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</si>
  <si>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</si>
  <si>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</si>
  <si>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</si>
  <si>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</si>
  <si>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</si>
  <si>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</si>
  <si>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</si>
  <si>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</si>
  <si>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</si>
  <si>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Szakmai tevékenységet segítő szolgáltatások (belső ellenőrzés)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</si>
  <si>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</si>
  <si>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</si>
  <si>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</si>
  <si>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</si>
  <si>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</si>
  <si>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</si>
  <si>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</si>
  <si>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</si>
  <si>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</si>
  <si>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</si>
  <si>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</si>
  <si>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</si>
  <si>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</si>
  <si>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</si>
  <si>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</si>
  <si>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</si>
  <si>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</si>
  <si>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</si>
  <si>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</si>
  <si>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 xml:space="preserve"> - Rendszerkövetési szolgáltatás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</si>
  <si>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</si>
  <si>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</si>
  <si>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</si>
  <si>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</si>
  <si>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</si>
  <si>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</si>
  <si>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</si>
  <si>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 xml:space="preserve"> - Adatvédelmi tisztviselői szolgáltatás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</si>
  <si>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</si>
  <si>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</si>
  <si>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</si>
  <si>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</si>
  <si>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 xml:space="preserve"> - Zajszint mérés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</si>
  <si>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</si>
  <si>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</si>
  <si>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</si>
  <si>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</si>
  <si>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</si>
  <si>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</si>
  <si>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</si>
  <si>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</si>
  <si>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>2022 évi KIADÁSOK részletezése</t>
  </si>
  <si>
    <t xml:space="preserve">K6 </t>
  </si>
  <si>
    <t>2022 évi BEVÉTELEK részletezése</t>
  </si>
  <si>
    <t>2022. évi költségvetés ÖSSZEVONT MÉRLEGE</t>
  </si>
  <si>
    <t>016010 Országgyűlési, Önkormányzati és Európa parlamenti képviselőválasztáshoz kapcsolódó tevékenységek</t>
  </si>
  <si>
    <t>K12</t>
  </si>
  <si>
    <t>Külső személyi juttatások</t>
  </si>
  <si>
    <t>K122</t>
  </si>
  <si>
    <t>Egyéb külső személyi juttatások (Megbízási díj)</t>
  </si>
  <si>
    <t>K123</t>
  </si>
  <si>
    <t>Egyéb külső személyi juttatások (Tiszteletdíj)</t>
  </si>
  <si>
    <t>Egyéb külső szem. Juttatások (repi)</t>
  </si>
  <si>
    <t>Szociaális hozzájárulási adó és SZJA (ellátás)</t>
  </si>
  <si>
    <t>Nyomtatás és irodaszer díja</t>
  </si>
  <si>
    <t>Egyéb tárgyi eszközök beszerzése (szavazófülke)</t>
  </si>
  <si>
    <t>016010 Országgyűlési, Önkormányzati és Eutópa parlamenti képviselőválasztáshoz kapcsolódó tevékenységek</t>
  </si>
  <si>
    <t>Országgyűlési képviselő választás és Népszavazás</t>
  </si>
  <si>
    <t>K1104</t>
  </si>
  <si>
    <t>Készenléti, ügyeleti, helyettesítési díj túlóra, túlszolgálat teljesítése</t>
  </si>
  <si>
    <t>Módosított</t>
  </si>
  <si>
    <t>Egyéb külső szem. Juttatások (reprezentáció)</t>
  </si>
  <si>
    <t>K63</t>
  </si>
  <si>
    <t>Informatikai eszközök beszerzése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</si>
  <si>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</si>
  <si>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</si>
  <si>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</si>
  <si>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</si>
  <si>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</si>
  <si>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</si>
  <si>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</si>
  <si>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</si>
  <si>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</si>
  <si>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</si>
  <si>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</si>
  <si>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</si>
  <si>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</si>
  <si>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</si>
  <si>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</si>
  <si>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</si>
  <si>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</t>
  </si>
  <si>
    <t>B</t>
  </si>
  <si>
    <t>C</t>
  </si>
  <si>
    <t>D</t>
  </si>
  <si>
    <t>E</t>
  </si>
  <si>
    <t>013210 Átfogó tervezési és statisztikai szolgáltatások</t>
  </si>
  <si>
    <t>Egyéb dologi kiadások (HVB tagok távolléti díja)</t>
  </si>
  <si>
    <t>Egyéb működési bevételek (kerekítési különbözet)</t>
  </si>
  <si>
    <t>sor-szám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</si>
  <si>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</si>
  <si>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</si>
  <si>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</si>
  <si>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</si>
  <si>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</si>
  <si>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</si>
  <si>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</si>
  <si>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</si>
  <si>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</si>
  <si>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</si>
  <si>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</si>
  <si>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</si>
  <si>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</si>
  <si>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</si>
  <si>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</si>
  <si>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</si>
  <si>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</si>
  <si>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</si>
  <si>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</si>
  <si>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</si>
  <si>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</si>
  <si>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</si>
  <si>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F</t>
  </si>
  <si>
    <t>G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</si>
  <si>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</si>
  <si>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</si>
  <si>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</si>
  <si>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</si>
  <si>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</si>
  <si>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</si>
  <si>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</si>
  <si>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</si>
  <si>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</si>
  <si>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</si>
  <si>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</si>
  <si>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</si>
  <si>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</si>
  <si>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</si>
  <si>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</si>
  <si>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</si>
  <si>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</si>
  <si>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</si>
  <si>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</si>
  <si>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</si>
  <si>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</si>
  <si>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</si>
  <si>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</si>
  <si>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</si>
  <si>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</si>
  <si>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</si>
  <si>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</si>
  <si>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</si>
  <si>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</si>
  <si>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</si>
  <si>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</si>
  <si>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</si>
  <si>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</si>
  <si>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</si>
  <si>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</si>
  <si>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</si>
  <si>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</si>
  <si>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</si>
  <si>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</si>
  <si>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</si>
  <si>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</si>
  <si>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</si>
  <si>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</si>
  <si>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</si>
  <si>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</si>
  <si>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</si>
  <si>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</si>
  <si>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</si>
  <si>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</si>
  <si>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</si>
  <si>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</si>
  <si>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</si>
  <si>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</si>
  <si>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</si>
  <si>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</si>
  <si>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</si>
  <si>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</si>
  <si>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</si>
  <si>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</si>
  <si>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</si>
  <si>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</si>
  <si>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</si>
  <si>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</si>
  <si>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</si>
  <si>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</si>
  <si>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</si>
  <si>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</si>
  <si>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</si>
  <si>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</si>
  <si>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</si>
  <si>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Pénzügyi teljesítés</t>
  </si>
  <si>
    <t>Pénzügyi teljesítés mód. előirányzathoz képest</t>
  </si>
  <si>
    <t>2021.12.31-ig (Ft)</t>
  </si>
  <si>
    <t>%-os értékben</t>
  </si>
  <si>
    <t>H</t>
  </si>
  <si>
    <t>I</t>
  </si>
  <si>
    <t xml:space="preserve"> 2022.12.31-ig (Ft)</t>
  </si>
  <si>
    <t xml:space="preserve"> %-os értékben</t>
  </si>
  <si>
    <t>12/A - Mérleg</t>
  </si>
  <si>
    <t>#</t>
  </si>
  <si>
    <t>Előző időszak</t>
  </si>
  <si>
    <t>Módosítások (+/-)</t>
  </si>
  <si>
    <t>Tárgyi időszak</t>
  </si>
  <si>
    <t>06</t>
  </si>
  <si>
    <t>A/II/2 Gépek, berendezések, felszerelések, járművek</t>
  </si>
  <si>
    <t>10</t>
  </si>
  <si>
    <t>A/II Tárgyi eszközök  (=A/II/1+...+A/II/5)</t>
  </si>
  <si>
    <t>29</t>
  </si>
  <si>
    <t>A) NEMZETI VAGYONBA TARTOZÓ BEFEKTETETT ESZKÖZÖK (=A/I+A/II+A/III+A/IV)</t>
  </si>
  <si>
    <t>49</t>
  </si>
  <si>
    <t>C/II/1 Forintpénztár</t>
  </si>
  <si>
    <t>52</t>
  </si>
  <si>
    <t>C/II Pénztárak, csekkek, betétkönyvek (=C/II/1+C/II/2+C/II/3)</t>
  </si>
  <si>
    <t>53</t>
  </si>
  <si>
    <t>C/III/1 Kincstáron kívüli forintszámlák</t>
  </si>
  <si>
    <t>55</t>
  </si>
  <si>
    <t>C/III Forintszámlák (=C/III/1+C/III/2)</t>
  </si>
  <si>
    <t>59</t>
  </si>
  <si>
    <t>C) PÉNZESZKÖZÖK (=C/I+…+C/IV)</t>
  </si>
  <si>
    <t>145</t>
  </si>
  <si>
    <t>D/III/1 Adott előlegek (=D/III/1a+…+D/III/1f)</t>
  </si>
  <si>
    <t>150</t>
  </si>
  <si>
    <t>D/III/1e - ebből: foglalkoztatottaknak adott előlegek</t>
  </si>
  <si>
    <t>151</t>
  </si>
  <si>
    <t>D/III/1f - ebből: túlfizetések, téves és visszajáró kifizetések</t>
  </si>
  <si>
    <t>160</t>
  </si>
  <si>
    <t>D/III Követelés jellegű sajátos elszámolások (=D/III/1+…+D/III/9)</t>
  </si>
  <si>
    <t>161</t>
  </si>
  <si>
    <t>D) KÖVETELÉSEK  (=D/I+D/II+D/III)</t>
  </si>
  <si>
    <t>178</t>
  </si>
  <si>
    <t>ESZKÖZÖK ÖSSZESEN (=A+B+C+D+E+F)</t>
  </si>
  <si>
    <t>181</t>
  </si>
  <si>
    <t>G/III Egyéb eszközök induláskori értéke és változásai</t>
  </si>
  <si>
    <t>182</t>
  </si>
  <si>
    <t>G/IV Felhalmozott eredmény</t>
  </si>
  <si>
    <t>184</t>
  </si>
  <si>
    <t>G/VI Mérleg szerinti eredmény</t>
  </si>
  <si>
    <t>185</t>
  </si>
  <si>
    <t>G/ SAJÁT TŐKE  (= G/I+…+G/VI)</t>
  </si>
  <si>
    <t>188</t>
  </si>
  <si>
    <t>H/I/3 Költségvetési évben esedékes kötelezettségek dologi kiadásokra</t>
  </si>
  <si>
    <t>211</t>
  </si>
  <si>
    <t>H/I Költségvetési évben esedékes kötelezettségek (=H/I/1+…+H/I/9)</t>
  </si>
  <si>
    <t>238</t>
  </si>
  <si>
    <t>H/III/3 Más szervezetet megillető bevételek elszámolása</t>
  </si>
  <si>
    <t>245</t>
  </si>
  <si>
    <t>H/III Kötelezettség jellegű sajátos elszámolások (=H/III/1+…+H/III/10)</t>
  </si>
  <si>
    <t>246</t>
  </si>
  <si>
    <t>H) KÖTELEZETTSÉGEK (=H/I+H/II+H/III)</t>
  </si>
  <si>
    <t>248</t>
  </si>
  <si>
    <t>J/1 Eredményszemléletű bevételek passzív időbeli elhatárolása</t>
  </si>
  <si>
    <t>249</t>
  </si>
  <si>
    <t>J/2 Költségek, ráfordítások passzív időbeli elhatárolása</t>
  </si>
  <si>
    <t>251</t>
  </si>
  <si>
    <t>J) PASSZÍV IDŐBELI ELHATÁROLÁSOK (=J/1+J/2+J/3)</t>
  </si>
  <si>
    <t>252</t>
  </si>
  <si>
    <t>FORRÁSOK ÖSSZESEN (=G+H+I+J)</t>
  </si>
  <si>
    <t>Sor-szám</t>
  </si>
  <si>
    <t>2022 évi MÉRLEGE</t>
  </si>
  <si>
    <t>07/A - Maradványkimutatás</t>
  </si>
  <si>
    <t>Összeg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</si>
  <si>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</si>
  <si>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</si>
  <si>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</si>
  <si>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</si>
  <si>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</si>
  <si>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</si>
  <si>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</si>
  <si>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</si>
  <si>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II         Alaptevékenység finanszírozási egyenlege (=03-04)</t>
  </si>
  <si>
    <t>07</t>
  </si>
  <si>
    <t>A)        Alaptevékenység maradványa (=±I±II)</t>
  </si>
  <si>
    <t>15</t>
  </si>
  <si>
    <t>C)        Összes maradvány (=A+B)</t>
  </si>
  <si>
    <t>17</t>
  </si>
  <si>
    <t>E)        Alaptevékenység szabad maradványa (=A-D)</t>
  </si>
  <si>
    <t>13/A - Eredménykimutatás</t>
  </si>
  <si>
    <t>08</t>
  </si>
  <si>
    <t>06 Központi működési célú támogatások eredményszemléletű bevételei</t>
  </si>
  <si>
    <t>09</t>
  </si>
  <si>
    <t>07 Egyéb működési célú támogatások eredményszemléletű bevételei</t>
  </si>
  <si>
    <t>11</t>
  </si>
  <si>
    <t>09 Különféle egyéb eredményszemléletű bevételek</t>
  </si>
  <si>
    <t>12</t>
  </si>
  <si>
    <t>III Egyéb eredményszemléletű bevételek (=06+07+08+09)</t>
  </si>
  <si>
    <t>13</t>
  </si>
  <si>
    <t>10 Anyagköltség</t>
  </si>
  <si>
    <t>14</t>
  </si>
  <si>
    <t>11 Igénybe vett szolgáltatások értéke</t>
  </si>
  <si>
    <t>IV Anyagjellegű ráfordítások (=10+11+12+13)</t>
  </si>
  <si>
    <t>18</t>
  </si>
  <si>
    <t>14 Bérköltség</t>
  </si>
  <si>
    <t>19</t>
  </si>
  <si>
    <t>15 Személyi jellegű egyéb kifizetések</t>
  </si>
  <si>
    <t>20</t>
  </si>
  <si>
    <t>16 Bérjárulékok</t>
  </si>
  <si>
    <t>21</t>
  </si>
  <si>
    <t>V Személyi jellegű ráfordítások (=14+15+16)</t>
  </si>
  <si>
    <t>22</t>
  </si>
  <si>
    <t>VI Értékcsökkenési leírás</t>
  </si>
  <si>
    <t>23</t>
  </si>
  <si>
    <t>VII Egyéb ráfordítások</t>
  </si>
  <si>
    <t>24</t>
  </si>
  <si>
    <t>A)  TEVÉKENYSÉGEK EREDMÉNYE (=I±II+III-IV-V-VI-VII)</t>
  </si>
  <si>
    <t>28</t>
  </si>
  <si>
    <t>20 Egyéb kapott (járó) kamatok és kamatjellegű eredményszemléletű bevételek</t>
  </si>
  <si>
    <t>32</t>
  </si>
  <si>
    <t>VIII Pénzügyi műveletek eredményszemléletű bevételei (=17+18+19+20+21)</t>
  </si>
  <si>
    <t>43</t>
  </si>
  <si>
    <t>B)  PÉNZÜGYI MŰVELETEK EREDMÉNYE (=VIII-IX)</t>
  </si>
  <si>
    <t>44</t>
  </si>
  <si>
    <t>C)  MÉRLEG SZERINTI EREDMÉNY (=±A±B)</t>
  </si>
  <si>
    <t>MARADVÁNYKIMUTATÁS 2022.</t>
  </si>
  <si>
    <t>Eredménykimutatás 2022</t>
  </si>
  <si>
    <t>08 - Adatszolgáltatás a személyi juttatások és a foglalkoztatottak, választott tisztségviselők összetételéréről</t>
  </si>
  <si>
    <t>Létszám fő (Tervezett átlagos statisztikai állományi létszám, éves)</t>
  </si>
  <si>
    <t>Normatív jutalmak, céljuttatás, projektprémium</t>
  </si>
  <si>
    <t>Készenléti, ügyeleti, helyettesítési díj, túlóra, túlszolgálat</t>
  </si>
  <si>
    <t>Végkielégítés, jubileumi jutalom</t>
  </si>
  <si>
    <t>Béren kívüli juttatások</t>
  </si>
  <si>
    <t>Költségtérítések</t>
  </si>
  <si>
    <t>Támogatások</t>
  </si>
  <si>
    <t>Választott tisztségviselők juttatásai</t>
  </si>
  <si>
    <t>főjegyző, jegyző, aljegyző, címzetes főjegyző, közös önkormányzati hivatal jegyzője</t>
  </si>
  <si>
    <t>16</t>
  </si>
  <si>
    <t>I. besorolási osztály</t>
  </si>
  <si>
    <t>II. besorolási osztály</t>
  </si>
  <si>
    <t>III. besorolási osztály</t>
  </si>
  <si>
    <t>KÖZTISZTVISELŐK, KORMÁNYTISZTVISELŐK, KÜLÖNLEGES JOGÁLLÁSÚ SZERVEK TISZTVISELŐI ÖSSZESEN (=01+…+23)</t>
  </si>
  <si>
    <t>116</t>
  </si>
  <si>
    <t>FOGLALKOZTATOTTAK ÖSSZESEN (=24+34+48+62+73+79+84+89+95+103+115)</t>
  </si>
  <si>
    <t>117</t>
  </si>
  <si>
    <t>Munkajogi zárólétszám (az időszak végén munkaviszonyban állók létszáma) (fő)</t>
  </si>
  <si>
    <t>J</t>
  </si>
  <si>
    <t>K</t>
  </si>
  <si>
    <t>L</t>
  </si>
  <si>
    <t>Személyi juttatások, a foglalkoztatottak, választott tisztségviselők összetételének alakulása 2022-ben</t>
  </si>
  <si>
    <t>05/A - Teljesített kiadások kormányzati funkciónként</t>
  </si>
  <si>
    <t>Összesen</t>
  </si>
  <si>
    <t>011130 Önkormányzatok és önkormányzati hivatalok jogalkotó és általános igazgatási tevékenysége</t>
  </si>
  <si>
    <t>016010 Országgyűlési, önkormányzati és európai parlamenti képviselőválasztásokhoz kapcsolódó tevékenységek</t>
  </si>
  <si>
    <t>018030 Támogatási célú finanszírozási műveletek</t>
  </si>
  <si>
    <t>041231 Rövid időtartamú közfoglalkoztatás</t>
  </si>
  <si>
    <t>999999 Kormányzati funkcióra fel nem osztott tevékenységek kiadásai és bevételei</t>
  </si>
  <si>
    <t>Törvény szerinti illetmények, munkabérek (K1101)</t>
  </si>
  <si>
    <t>Normatív jutalmak (K1102)</t>
  </si>
  <si>
    <t>Készenléti, ügyeleti, helyettesítési díj, túlóra, túlszolgálat (K1104)</t>
  </si>
  <si>
    <t>Jubileumi jutalom (K1106)</t>
  </si>
  <si>
    <t>Béren kívüli juttatások (K1107)</t>
  </si>
  <si>
    <t>Közlekedési költségtérítés (K1109)</t>
  </si>
  <si>
    <t>Foglalkoztatottak egyéb személyi juttatásai (&gt;=14) (K1113)</t>
  </si>
  <si>
    <t>Foglalkoztatottak személyi juttatásai (=01+…+13) (K11)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</si>
  <si>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</si>
  <si>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</si>
  <si>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</si>
  <si>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Személyi juttatások (=15+19) (K1)</t>
  </si>
  <si>
    <t>Munkaadókat terhelő járulékok és szociális hozzájárulási adó (=22+…+27) (K2)</t>
  </si>
  <si>
    <t>ebből: szociális hozzájárulási adó (K2)</t>
  </si>
  <si>
    <t>27</t>
  </si>
  <si>
    <t>ebből: munkáltatót terhelő személyi jövedelemadó (K2)</t>
  </si>
  <si>
    <t>Szakmai anyagok beszerzése (K311)</t>
  </si>
  <si>
    <t>Üzemeltetési anyagok beszerzése (K312)</t>
  </si>
  <si>
    <t>31</t>
  </si>
  <si>
    <t>Készletbeszerzés (=28+29+30) (K31)</t>
  </si>
  <si>
    <t>Informatikai szolgáltatások igénybevétele (K321)</t>
  </si>
  <si>
    <t>33</t>
  </si>
  <si>
    <t>Egyéb kommunikációs szolgáltatások (K322)</t>
  </si>
  <si>
    <t>34</t>
  </si>
  <si>
    <t>Kommunikációs szolgáltatások (=32+33) (K32)</t>
  </si>
  <si>
    <t>37</t>
  </si>
  <si>
    <t>Bérleti és lízing díjak (&gt;=38) (K333)</t>
  </si>
  <si>
    <t>42</t>
  </si>
  <si>
    <t>Szakmai tevékenységet segítő szolgáltatások  (K336)</t>
  </si>
  <si>
    <t>Egyéb szolgáltatások (&gt;=44)  (K337)</t>
  </si>
  <si>
    <t>45</t>
  </si>
  <si>
    <t>Szolgáltatási kiadások (=35+36+37+39+40+42+43) (K33)</t>
  </si>
  <si>
    <t>46</t>
  </si>
  <si>
    <t>Kiküldetések kiadásai (K341)</t>
  </si>
  <si>
    <t>48</t>
  </si>
  <si>
    <t>Kiküldetések, reklám- és propagandakiadások (=46+47) (K34)</t>
  </si>
  <si>
    <t>Működési célú előzetesen felszámított általános forgalmi adó (K351)</t>
  </si>
  <si>
    <t>58</t>
  </si>
  <si>
    <t>Egyéb dologi kiadások (K355)</t>
  </si>
  <si>
    <t>Különféle befizetések és egyéb dologi kiadások (=49+50+51+54+58) (K35)</t>
  </si>
  <si>
    <t>60</t>
  </si>
  <si>
    <t>Dologi kiadások (=31+34+45+48+59) (K3)</t>
  </si>
  <si>
    <t>Egyéb működési célú támogatások államháztartáson belülre (=151+…+160) (K506)</t>
  </si>
  <si>
    <t>157</t>
  </si>
  <si>
    <t>ebből: helyi önkormányzatok és költségvetési szerveik (K506)</t>
  </si>
  <si>
    <t>190</t>
  </si>
  <si>
    <t>Egyéb működési célú kiadások (=121+126+127+128+139+150+161+163+175+176+177+178+189) (K5)</t>
  </si>
  <si>
    <t>194</t>
  </si>
  <si>
    <t>Informatikai eszközök beszerzése, létesítése (K63)</t>
  </si>
  <si>
    <t>195</t>
  </si>
  <si>
    <t>Egyéb tárgyi eszközök beszerzése, létesítése (K64)</t>
  </si>
  <si>
    <t>200</t>
  </si>
  <si>
    <t>Beruházási célú előzetesen felszámított általános forgalmi adó (K67)</t>
  </si>
  <si>
    <t>201</t>
  </si>
  <si>
    <t>Beruházások (=191+192+194+195+196+198+200) (K6)</t>
  </si>
  <si>
    <t>269</t>
  </si>
  <si>
    <t>Költségvetési kiadások (=20+21+60+120+190+201+206+268) (K1-K8)</t>
  </si>
  <si>
    <t>308</t>
  </si>
  <si>
    <t>Kiadások összesen (=269+307) (K1-K9)</t>
  </si>
  <si>
    <t>309</t>
  </si>
  <si>
    <t>Átlagos statisztikai állományi létszám</t>
  </si>
  <si>
    <t>Teljesített kiadások kormányzati funkciónként 2022</t>
  </si>
  <si>
    <t>15/A - Kimutatás az immateriális javak, tárgyi eszközök koncesszióba, vagyonkezelésbe adott eszközök állományának alakulásáról</t>
  </si>
  <si>
    <t>Immateriális javak</t>
  </si>
  <si>
    <t>Ingatlanok és kapcsolódó vagyoni értékű jogok</t>
  </si>
  <si>
    <t>Gépek, berendezések, felszerelések, járművek</t>
  </si>
  <si>
    <t>Tenyészállatok</t>
  </si>
  <si>
    <t>Beruházások és felújítások</t>
  </si>
  <si>
    <t>Koncesszióba, vagyonkezelésbe adott eszközök</t>
  </si>
  <si>
    <t>Összesen (=3+4+5+6+7+8)</t>
  </si>
  <si>
    <t>Tárgyévi nyitó állomány (előző évi záró állomány)</t>
  </si>
  <si>
    <t>Immateriális javak beszerzése, nem aktivált beruházások</t>
  </si>
  <si>
    <t>Beruházásokból, felújításokból aktivált érték</t>
  </si>
  <si>
    <t>Egyéb növekedés</t>
  </si>
  <si>
    <t>Összes növekedés  (=02+…+07)</t>
  </si>
  <si>
    <t>Egyéb csökkenés</t>
  </si>
  <si>
    <t>Összes csökkenés (=09+…+13)</t>
  </si>
  <si>
    <t>Bruttó érték összesen (=01+08-14)</t>
  </si>
  <si>
    <t>Terv szerinti értékcsökkenés nyitó állománya</t>
  </si>
  <si>
    <t>Terv szerinti értékcsökkenés növekedése</t>
  </si>
  <si>
    <t>Terv szerinti értékcsökkenés csökkenése</t>
  </si>
  <si>
    <t>Terv szerinti értékcsökkenés záró állománya  (=16+17-18)</t>
  </si>
  <si>
    <t>Értékcsökkenés összesen (=19+23)</t>
  </si>
  <si>
    <t>25</t>
  </si>
  <si>
    <t>Eszközök nettó értéke (=15-24)</t>
  </si>
  <si>
    <t>26</t>
  </si>
  <si>
    <t>Teljesen (0-ig) leírt eszközök bruttó értéke</t>
  </si>
  <si>
    <t>Kimutatás az immateriális javak, tárgyi eszközök, koncesszióba, vagyonkezelésbe adott eszközök állományának 2022 évi alakulásáról</t>
  </si>
  <si>
    <t>Népszámlálás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</si>
</sst>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  <numFmt numFmtId="166" formatCode="#,##0_ ;\-#,##0\ "/>
  </numFmts>
  <fonts count="21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charset val="238"/>
    </font>
    <font>
      <sz val="10"/>
      <name val="Arial"/>
      <family val="2"/>
      <charset val="238"/>
    </font>
    <font>
      <sz val="10"/>
      <color rgb="FF000000"/>
      <name val="Arial CE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rgb="FF000000"/>
      <name val="Arial CE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BAD"/>
        <bgColor rgb="FFD0CECE"/>
      </patternFill>
    </fill>
    <fill>
      <patternFill patternType="solid">
        <fgColor theme="5" tint="0.79998168889431442"/>
        <bgColor indexed="31"/>
      </patternFill>
    </fill>
    <fill>
      <patternFill patternType="solid">
        <fgColor indexed="55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9" fontId="14" fillId="0" borderId="0" applyFont="0" applyFill="0" applyBorder="0" applyAlignment="0" applyProtection="0"/>
    <xf numFmtId="0" fontId="15" fillId="0" borderId="0"/>
    <xf numFmtId="0" fontId="16" fillId="0" borderId="0"/>
    <xf numFmtId="0" fontId="15" fillId="0" borderId="0"/>
  </cellStyleXfs>
  <cellXfs count="2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3" fontId="3" fillId="0" borderId="2" xfId="0" applyNumberFormat="1" applyFont="1" applyFill="1" applyBorder="1"/>
    <xf numFmtId="0" fontId="4" fillId="0" borderId="3" xfId="0" applyFont="1" applyBorder="1"/>
    <xf numFmtId="3" fontId="4" fillId="0" borderId="4" xfId="0" applyNumberFormat="1" applyFont="1" applyBorder="1"/>
    <xf numFmtId="0" fontId="4" fillId="0" borderId="0" xfId="0" applyFont="1" applyBorder="1"/>
    <xf numFmtId="3" fontId="3" fillId="0" borderId="0" xfId="0" applyNumberFormat="1" applyFont="1"/>
    <xf numFmtId="3" fontId="5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 applyAlignment="1"/>
    <xf numFmtId="3" fontId="4" fillId="0" borderId="2" xfId="0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Border="1"/>
    <xf numFmtId="0" fontId="4" fillId="0" borderId="0" xfId="0" applyFont="1" applyFill="1" applyBorder="1"/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3" fontId="4" fillId="0" borderId="9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8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3" fillId="0" borderId="9" xfId="0" applyNumberFormat="1" applyFont="1" applyFill="1" applyBorder="1"/>
    <xf numFmtId="0" fontId="4" fillId="0" borderId="0" xfId="0" applyFont="1" applyFill="1" applyAlignment="1"/>
    <xf numFmtId="3" fontId="3" fillId="0" borderId="13" xfId="0" applyNumberFormat="1" applyFont="1" applyFill="1" applyBorder="1"/>
    <xf numFmtId="0" fontId="4" fillId="0" borderId="0" xfId="0" applyFont="1" applyAlignment="1">
      <alignment horizontal="left"/>
    </xf>
    <xf numFmtId="2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2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2" fontId="8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/>
    <xf numFmtId="3" fontId="4" fillId="2" borderId="10" xfId="0" applyNumberFormat="1" applyFont="1" applyFill="1" applyBorder="1"/>
    <xf numFmtId="0" fontId="4" fillId="2" borderId="3" xfId="0" applyFont="1" applyFill="1" applyBorder="1" applyAlignment="1">
      <alignment horizontal="left"/>
    </xf>
    <xf numFmtId="3" fontId="4" fillId="2" borderId="12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5" fontId="3" fillId="0" borderId="0" xfId="1" applyNumberFormat="1" applyFont="1"/>
    <xf numFmtId="3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4" fillId="0" borderId="9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right"/>
    </xf>
    <xf numFmtId="165" fontId="4" fillId="2" borderId="16" xfId="1" applyNumberFormat="1" applyFont="1" applyFill="1" applyBorder="1" applyAlignment="1">
      <alignment horizontal="center" vertical="center"/>
    </xf>
    <xf numFmtId="165" fontId="4" fillId="2" borderId="15" xfId="1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vertical="center" wrapText="1"/>
    </xf>
    <xf numFmtId="166" fontId="3" fillId="0" borderId="9" xfId="1" applyNumberFormat="1" applyFont="1" applyBorder="1" applyAlignment="1">
      <alignment horizontal="center" vertical="center"/>
    </xf>
    <xf numFmtId="166" fontId="3" fillId="0" borderId="17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8" xfId="0" applyFont="1" applyBorder="1" applyAlignment="1"/>
    <xf numFmtId="2" fontId="4" fillId="0" borderId="18" xfId="0" applyNumberFormat="1" applyFont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2" fontId="3" fillId="0" borderId="18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center"/>
    </xf>
    <xf numFmtId="0" fontId="4" fillId="0" borderId="18" xfId="0" applyFont="1" applyBorder="1"/>
    <xf numFmtId="0" fontId="3" fillId="0" borderId="18" xfId="0" applyFont="1" applyBorder="1"/>
    <xf numFmtId="2" fontId="7" fillId="0" borderId="18" xfId="0" applyNumberFormat="1" applyFont="1" applyBorder="1" applyAlignment="1">
      <alignment horizontal="right"/>
    </xf>
    <xf numFmtId="0" fontId="8" fillId="0" borderId="18" xfId="0" applyFont="1" applyBorder="1" applyAlignment="1">
      <alignment horizontal="left"/>
    </xf>
    <xf numFmtId="2" fontId="8" fillId="0" borderId="18" xfId="0" applyNumberFormat="1" applyFont="1" applyBorder="1" applyAlignment="1">
      <alignment horizontal="right"/>
    </xf>
    <xf numFmtId="165" fontId="4" fillId="0" borderId="18" xfId="1" applyNumberFormat="1" applyFont="1" applyBorder="1" applyAlignment="1">
      <alignment horizontal="right" vertical="center"/>
    </xf>
    <xf numFmtId="166" fontId="3" fillId="0" borderId="18" xfId="1" applyNumberFormat="1" applyFont="1" applyBorder="1" applyAlignment="1">
      <alignment horizontal="center" vertical="center"/>
    </xf>
    <xf numFmtId="0" fontId="4" fillId="0" borderId="19" xfId="0" applyFont="1" applyBorder="1"/>
    <xf numFmtId="0" fontId="3" fillId="0" borderId="19" xfId="0" applyFont="1" applyBorder="1" applyAlignment="1">
      <alignment horizontal="left"/>
    </xf>
    <xf numFmtId="166" fontId="3" fillId="0" borderId="19" xfId="1" applyNumberFormat="1" applyFont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165" fontId="0" fillId="0" borderId="0" xfId="0" applyNumberFormat="1" applyAlignment="1">
      <alignment horizontal="center"/>
    </xf>
    <xf numFmtId="0" fontId="4" fillId="0" borderId="20" xfId="0" applyFont="1" applyFill="1" applyBorder="1" applyAlignment="1"/>
    <xf numFmtId="165" fontId="4" fillId="0" borderId="2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right"/>
    </xf>
    <xf numFmtId="165" fontId="4" fillId="2" borderId="9" xfId="1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left"/>
    </xf>
    <xf numFmtId="165" fontId="4" fillId="0" borderId="21" xfId="1" applyNumberFormat="1" applyFont="1" applyFill="1" applyBorder="1" applyAlignment="1">
      <alignment horizontal="center"/>
    </xf>
    <xf numFmtId="0" fontId="4" fillId="0" borderId="22" xfId="0" applyFont="1" applyFill="1" applyBorder="1" applyAlignment="1"/>
    <xf numFmtId="165" fontId="4" fillId="0" borderId="22" xfId="1" applyNumberFormat="1" applyFont="1" applyFill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2" fontId="3" fillId="0" borderId="24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right" vertical="center"/>
    </xf>
    <xf numFmtId="165" fontId="3" fillId="0" borderId="9" xfId="1" applyNumberFormat="1" applyFont="1" applyBorder="1" applyAlignment="1">
      <alignment vertical="center"/>
    </xf>
    <xf numFmtId="165" fontId="3" fillId="0" borderId="17" xfId="1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3" fillId="0" borderId="25" xfId="0" applyFont="1" applyBorder="1"/>
    <xf numFmtId="0" fontId="4" fillId="3" borderId="2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2" fontId="4" fillId="4" borderId="29" xfId="0" applyNumberFormat="1" applyFont="1" applyFill="1" applyBorder="1" applyAlignment="1">
      <alignment wrapText="1"/>
    </xf>
    <xf numFmtId="165" fontId="4" fillId="4" borderId="30" xfId="1" applyNumberFormat="1" applyFont="1" applyFill="1" applyBorder="1" applyAlignment="1">
      <alignment horizontal="center" vertical="center"/>
    </xf>
    <xf numFmtId="165" fontId="4" fillId="4" borderId="31" xfId="1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/>
    </xf>
    <xf numFmtId="0" fontId="4" fillId="2" borderId="34" xfId="0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0" applyNumberFormat="1" applyFont="1"/>
    <xf numFmtId="165" fontId="3" fillId="0" borderId="0" xfId="0" applyNumberFormat="1" applyFont="1"/>
    <xf numFmtId="1" fontId="4" fillId="0" borderId="27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Fill="1" applyBorder="1"/>
    <xf numFmtId="0" fontId="4" fillId="0" borderId="40" xfId="0" applyFont="1" applyFill="1" applyBorder="1"/>
    <xf numFmtId="0" fontId="4" fillId="0" borderId="41" xfId="0" applyFont="1" applyFill="1" applyBorder="1"/>
    <xf numFmtId="0" fontId="4" fillId="2" borderId="3" xfId="0" applyFont="1" applyFill="1" applyBorder="1"/>
    <xf numFmtId="0" fontId="3" fillId="0" borderId="42" xfId="0" applyFont="1" applyBorder="1" applyAlignment="1">
      <alignment horizontal="left"/>
    </xf>
    <xf numFmtId="2" fontId="3" fillId="0" borderId="23" xfId="0" applyNumberFormat="1" applyFont="1" applyBorder="1" applyAlignment="1">
      <alignment horizontal="left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0" fillId="0" borderId="0" xfId="0" applyAlignment="1"/>
    <xf numFmtId="165" fontId="4" fillId="0" borderId="0" xfId="1" applyNumberFormat="1" applyFont="1"/>
    <xf numFmtId="3" fontId="10" fillId="5" borderId="43" xfId="4" applyNumberFormat="1" applyFont="1" applyFill="1" applyBorder="1" applyAlignment="1">
      <alignment horizontal="center" vertical="center" wrapText="1"/>
    </xf>
    <xf numFmtId="3" fontId="10" fillId="5" borderId="44" xfId="4" applyNumberFormat="1" applyFont="1" applyFill="1" applyBorder="1" applyAlignment="1">
      <alignment horizontal="center" vertical="center" wrapText="1"/>
    </xf>
    <xf numFmtId="3" fontId="10" fillId="5" borderId="25" xfId="4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3" fontId="10" fillId="0" borderId="25" xfId="4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3" fontId="3" fillId="0" borderId="25" xfId="4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5" fontId="4" fillId="4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4" fillId="0" borderId="46" xfId="1" applyNumberFormat="1" applyFont="1" applyFill="1" applyBorder="1" applyAlignment="1">
      <alignment horizontal="center"/>
    </xf>
    <xf numFmtId="165" fontId="4" fillId="0" borderId="47" xfId="1" applyNumberFormat="1" applyFont="1" applyFill="1" applyBorder="1" applyAlignment="1">
      <alignment horizontal="center"/>
    </xf>
    <xf numFmtId="165" fontId="4" fillId="0" borderId="48" xfId="1" applyNumberFormat="1" applyFont="1" applyFill="1" applyBorder="1" applyAlignment="1">
      <alignment horizontal="center"/>
    </xf>
    <xf numFmtId="165" fontId="4" fillId="0" borderId="52" xfId="1" applyNumberFormat="1" applyFont="1" applyFill="1" applyBorder="1" applyAlignment="1">
      <alignment horizontal="center"/>
    </xf>
    <xf numFmtId="165" fontId="4" fillId="0" borderId="53" xfId="1" applyNumberFormat="1" applyFont="1" applyFill="1" applyBorder="1" applyAlignment="1">
      <alignment horizontal="center"/>
    </xf>
    <xf numFmtId="165" fontId="4" fillId="0" borderId="54" xfId="1" applyNumberFormat="1" applyFont="1" applyFill="1" applyBorder="1" applyAlignment="1">
      <alignment horizontal="center"/>
    </xf>
    <xf numFmtId="10" fontId="4" fillId="2" borderId="15" xfId="3" applyNumberFormat="1" applyFont="1" applyFill="1" applyBorder="1" applyAlignment="1">
      <alignment horizontal="center" vertical="center"/>
    </xf>
    <xf numFmtId="10" fontId="4" fillId="0" borderId="2" xfId="3" applyNumberFormat="1" applyFont="1" applyBorder="1" applyAlignment="1">
      <alignment horizontal="center"/>
    </xf>
    <xf numFmtId="10" fontId="4" fillId="2" borderId="16" xfId="3" applyNumberFormat="1" applyFont="1" applyFill="1" applyBorder="1" applyAlignment="1">
      <alignment horizontal="center" vertical="center"/>
    </xf>
    <xf numFmtId="10" fontId="3" fillId="0" borderId="2" xfId="3" applyNumberFormat="1" applyFont="1" applyBorder="1" applyAlignment="1">
      <alignment horizontal="center"/>
    </xf>
    <xf numFmtId="10" fontId="4" fillId="4" borderId="31" xfId="3" applyNumberFormat="1" applyFont="1" applyFill="1" applyBorder="1" applyAlignment="1">
      <alignment horizontal="center" vertical="center"/>
    </xf>
    <xf numFmtId="10" fontId="4" fillId="0" borderId="18" xfId="3" applyNumberFormat="1" applyFont="1" applyBorder="1" applyAlignment="1">
      <alignment horizontal="center"/>
    </xf>
    <xf numFmtId="10" fontId="4" fillId="2" borderId="9" xfId="3" applyNumberFormat="1" applyFont="1" applyFill="1" applyBorder="1" applyAlignment="1">
      <alignment horizontal="center"/>
    </xf>
    <xf numFmtId="10" fontId="4" fillId="0" borderId="49" xfId="3" applyNumberFormat="1" applyFont="1" applyFill="1" applyBorder="1" applyAlignment="1">
      <alignment horizontal="center"/>
    </xf>
    <xf numFmtId="10" fontId="4" fillId="0" borderId="50" xfId="3" applyNumberFormat="1" applyFont="1" applyFill="1" applyBorder="1" applyAlignment="1">
      <alignment horizontal="center"/>
    </xf>
    <xf numFmtId="10" fontId="4" fillId="0" borderId="51" xfId="3" applyNumberFormat="1" applyFont="1" applyFill="1" applyBorder="1" applyAlignment="1">
      <alignment horizontal="center"/>
    </xf>
    <xf numFmtId="10" fontId="4" fillId="2" borderId="3" xfId="3" applyNumberFormat="1" applyFont="1" applyFill="1" applyBorder="1" applyAlignment="1">
      <alignment horizontal="center"/>
    </xf>
    <xf numFmtId="10" fontId="4" fillId="0" borderId="0" xfId="3" applyNumberFormat="1" applyFont="1" applyAlignment="1">
      <alignment horizontal="center"/>
    </xf>
    <xf numFmtId="10" fontId="4" fillId="2" borderId="7" xfId="3" applyNumberFormat="1" applyFont="1" applyFill="1" applyBorder="1" applyAlignment="1">
      <alignment horizontal="center" vertical="center"/>
    </xf>
    <xf numFmtId="10" fontId="4" fillId="0" borderId="2" xfId="3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0" fontId="4" fillId="0" borderId="15" xfId="3" applyNumberFormat="1" applyFont="1" applyBorder="1" applyAlignment="1">
      <alignment horizontal="center"/>
    </xf>
    <xf numFmtId="10" fontId="4" fillId="0" borderId="9" xfId="3" applyNumberFormat="1" applyFont="1" applyBorder="1" applyAlignment="1">
      <alignment horizontal="center"/>
    </xf>
    <xf numFmtId="10" fontId="4" fillId="0" borderId="13" xfId="3" applyNumberFormat="1" applyFont="1" applyBorder="1" applyAlignment="1">
      <alignment horizontal="center"/>
    </xf>
    <xf numFmtId="10" fontId="3" fillId="0" borderId="9" xfId="3" applyNumberFormat="1" applyFont="1" applyBorder="1" applyAlignment="1">
      <alignment horizontal="center"/>
    </xf>
    <xf numFmtId="10" fontId="4" fillId="0" borderId="0" xfId="3" applyNumberFormat="1" applyFont="1" applyBorder="1" applyAlignment="1">
      <alignment horizontal="center"/>
    </xf>
    <xf numFmtId="10" fontId="4" fillId="0" borderId="9" xfId="3" applyNumberFormat="1" applyFont="1" applyFill="1" applyBorder="1" applyAlignment="1">
      <alignment horizontal="center"/>
    </xf>
    <xf numFmtId="10" fontId="4" fillId="2" borderId="12" xfId="3" applyNumberFormat="1" applyFont="1" applyFill="1" applyBorder="1" applyAlignment="1">
      <alignment horizontal="center"/>
    </xf>
    <xf numFmtId="10" fontId="3" fillId="0" borderId="9" xfId="3" applyNumberFormat="1" applyFont="1" applyFill="1" applyBorder="1" applyAlignment="1">
      <alignment horizontal="center"/>
    </xf>
    <xf numFmtId="10" fontId="3" fillId="0" borderId="13" xfId="3" applyNumberFormat="1" applyFont="1" applyFill="1" applyBorder="1" applyAlignment="1">
      <alignment horizontal="center"/>
    </xf>
    <xf numFmtId="10" fontId="4" fillId="2" borderId="10" xfId="3" applyNumberFormat="1" applyFont="1" applyFill="1" applyBorder="1" applyAlignment="1">
      <alignment horizontal="center"/>
    </xf>
    <xf numFmtId="10" fontId="4" fillId="0" borderId="2" xfId="3" applyNumberFormat="1" applyFont="1" applyBorder="1"/>
    <xf numFmtId="10" fontId="3" fillId="0" borderId="2" xfId="3" applyNumberFormat="1" applyFont="1" applyBorder="1"/>
    <xf numFmtId="3" fontId="4" fillId="0" borderId="55" xfId="0" applyNumberFormat="1" applyFont="1" applyBorder="1"/>
    <xf numFmtId="10" fontId="3" fillId="0" borderId="56" xfId="3" applyNumberFormat="1" applyFont="1" applyBorder="1"/>
    <xf numFmtId="0" fontId="3" fillId="0" borderId="57" xfId="0" applyFont="1" applyBorder="1" applyAlignment="1">
      <alignment horizontal="center"/>
    </xf>
    <xf numFmtId="0" fontId="0" fillId="0" borderId="57" xfId="0" applyBorder="1" applyAlignment="1"/>
    <xf numFmtId="0" fontId="16" fillId="0" borderId="0" xfId="5" applyFill="1"/>
    <xf numFmtId="0" fontId="16" fillId="0" borderId="0" xfId="5"/>
    <xf numFmtId="0" fontId="17" fillId="6" borderId="25" xfId="5" applyFont="1" applyFill="1" applyBorder="1" applyAlignment="1">
      <alignment horizontal="center" vertical="top" wrapText="1"/>
    </xf>
    <xf numFmtId="0" fontId="18" fillId="0" borderId="25" xfId="5" applyFont="1" applyFill="1" applyBorder="1" applyAlignment="1">
      <alignment horizontal="center" vertical="top" wrapText="1"/>
    </xf>
    <xf numFmtId="0" fontId="18" fillId="0" borderId="25" xfId="5" applyFont="1" applyFill="1" applyBorder="1" applyAlignment="1">
      <alignment horizontal="left" vertical="top" wrapText="1"/>
    </xf>
    <xf numFmtId="3" fontId="18" fillId="0" borderId="25" xfId="5" applyNumberFormat="1" applyFont="1" applyFill="1" applyBorder="1" applyAlignment="1">
      <alignment horizontal="right" vertical="top" wrapText="1"/>
    </xf>
    <xf numFmtId="0" fontId="19" fillId="0" borderId="25" xfId="5" applyFont="1" applyFill="1" applyBorder="1" applyAlignment="1">
      <alignment horizontal="center" vertical="top" wrapText="1"/>
    </xf>
    <xf numFmtId="0" fontId="19" fillId="0" borderId="25" xfId="5" applyFont="1" applyFill="1" applyBorder="1" applyAlignment="1">
      <alignment horizontal="left" vertical="top" wrapText="1"/>
    </xf>
    <xf numFmtId="3" fontId="19" fillId="0" borderId="25" xfId="5" applyNumberFormat="1" applyFont="1" applyFill="1" applyBorder="1" applyAlignment="1">
      <alignment horizontal="right" vertical="top" wrapText="1"/>
    </xf>
    <xf numFmtId="0" fontId="3" fillId="0" borderId="0" xfId="6" applyFont="1" applyAlignment="1">
      <alignment horizontal="center"/>
    </xf>
    <xf numFmtId="0" fontId="16" fillId="0" borderId="0" xfId="5" applyFill="1" applyAlignment="1">
      <alignment vertical="center"/>
    </xf>
    <xf numFmtId="0" fontId="16" fillId="0" borderId="0" xfId="5" applyFill="1" applyAlignment="1">
      <alignment horizontal="center"/>
    </xf>
    <xf numFmtId="0" fontId="7" fillId="0" borderId="25" xfId="6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16" fillId="0" borderId="25" xfId="5" applyFill="1" applyBorder="1" applyAlignment="1">
      <alignment horizontal="center"/>
    </xf>
    <xf numFmtId="0" fontId="3" fillId="0" borderId="0" xfId="2" applyFont="1" applyFill="1" applyAlignment="1">
      <alignment horizontal="center" vertical="center"/>
    </xf>
    <xf numFmtId="0" fontId="16" fillId="0" borderId="25" xfId="5" applyBorder="1" applyAlignment="1">
      <alignment horizontal="center" wrapText="1"/>
    </xf>
    <xf numFmtId="0" fontId="3" fillId="0" borderId="25" xfId="2" applyFont="1" applyFill="1" applyBorder="1" applyAlignment="1">
      <alignment horizontal="center" vertical="center"/>
    </xf>
    <xf numFmtId="0" fontId="16" fillId="0" borderId="0" xfId="5" applyAlignment="1">
      <alignment horizontal="center"/>
    </xf>
    <xf numFmtId="0" fontId="16" fillId="0" borderId="25" xfId="5" applyFill="1" applyBorder="1" applyAlignment="1">
      <alignment horizontal="center" wrapText="1"/>
    </xf>
    <xf numFmtId="0" fontId="16" fillId="0" borderId="0" xfId="5" applyFill="1" applyAlignment="1">
      <alignment horizontal="center" vertical="center"/>
    </xf>
    <xf numFmtId="0" fontId="16" fillId="0" borderId="25" xfId="5" applyFill="1" applyBorder="1" applyAlignment="1">
      <alignment vertical="center"/>
    </xf>
    <xf numFmtId="0" fontId="16" fillId="0" borderId="25" xfId="5" applyFill="1" applyBorder="1" applyAlignment="1">
      <alignment horizontal="center" vertical="center"/>
    </xf>
    <xf numFmtId="0" fontId="20" fillId="0" borderId="25" xfId="5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3" fillId="0" borderId="57" xfId="0" applyFont="1" applyBorder="1" applyAlignment="1">
      <alignment horizontal="center"/>
    </xf>
    <xf numFmtId="0" fontId="0" fillId="0" borderId="57" xfId="0" applyBorder="1" applyAlignment="1"/>
    <xf numFmtId="0" fontId="3" fillId="0" borderId="2" xfId="0" applyFont="1" applyBorder="1" applyAlignment="1">
      <alignment horizontal="left"/>
    </xf>
    <xf numFmtId="0" fontId="4" fillId="2" borderId="3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36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wrapText="1"/>
    </xf>
    <xf numFmtId="0" fontId="4" fillId="2" borderId="33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0" fillId="0" borderId="0" xfId="0" applyBorder="1" applyAlignment="1"/>
    <xf numFmtId="0" fontId="17" fillId="6" borderId="25" xfId="5" applyFont="1" applyFill="1" applyBorder="1" applyAlignment="1">
      <alignment horizontal="center" vertical="top" wrapText="1"/>
    </xf>
    <xf numFmtId="0" fontId="16" fillId="0" borderId="25" xfId="5" applyFill="1" applyBorder="1"/>
    <xf numFmtId="0" fontId="0" fillId="0" borderId="0" xfId="0" applyAlignment="1">
      <alignment horizontal="center"/>
    </xf>
    <xf numFmtId="0" fontId="3" fillId="0" borderId="0" xfId="6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6" fillId="0" borderId="0" xfId="5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Ezres" xfId="1" builtinId="3"/>
    <cellStyle name="Normál" xfId="0" builtinId="0"/>
    <cellStyle name="Normál 2" xfId="2"/>
    <cellStyle name="Normál 3" xfId="5"/>
    <cellStyle name="Normál_Mindszentkálla zárszámadás 2013." xfId="6"/>
    <cellStyle name="Normál_Mkálla ktgvetés 2013." xfId="4"/>
    <cellStyle name="Százalék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FulopSzilvia\Documents\K%20F%20SZILVIA\K&#214;Z&#214;S%20HIVATAL\K&#246;lts&#233;gvet&#233;s%202022\K&#246;lts&#233;gvet&#233;s%202022\2.%20K&#246;z&#246;s%20Hivalat%20k&#246;ls&#233;gvet&#233;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rleg"/>
      <sheetName val="Bevételek"/>
      <sheetName val="Kiadások"/>
    </sheetNames>
    <sheetDataSet>
      <sheetData sheetId="0"/>
      <sheetData sheetId="1">
        <row r="28">
          <cell r="F28">
            <v>2350000</v>
          </cell>
        </row>
        <row r="29">
          <cell r="F29">
            <v>100</v>
          </cell>
        </row>
        <row r="30">
          <cell r="F30">
            <v>147977400</v>
          </cell>
        </row>
      </sheetData>
      <sheetData sheetId="2">
        <row r="53">
          <cell r="F53">
            <v>150000.08100000001</v>
          </cell>
        </row>
        <row r="61">
          <cell r="F61">
            <v>113800000</v>
          </cell>
        </row>
        <row r="62">
          <cell r="F62">
            <v>15666500</v>
          </cell>
        </row>
        <row r="63">
          <cell r="F63">
            <v>18211000</v>
          </cell>
        </row>
        <row r="64">
          <cell r="F64">
            <v>2500000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G12" sqref="G12"/>
    </sheetView>
  </sheetViews>
  <sheetFormatPr defaultColWidth="8.875" defaultRowHeight="15.75" x14ac:dyDescent="0.25"/>
  <cols>
    <col min="1" max="1" width="3.75" customWidth="1"/>
    <col min="2" max="2" width="3.375" customWidth="1"/>
    <col min="3" max="3" width="4.125" customWidth="1"/>
    <col min="4" max="4" width="45" customWidth="1"/>
    <col min="5" max="5" width="17.125" customWidth="1"/>
    <col min="6" max="6" width="16.25" customWidth="1"/>
    <col min="7" max="7" width="16.5" customWidth="1"/>
    <col min="8" max="8" width="16" customWidth="1"/>
  </cols>
  <sheetData>
    <row r="1" spans="1:8" s="1" customFormat="1" x14ac:dyDescent="0.25">
      <c r="B1" s="237"/>
      <c r="C1" s="237"/>
      <c r="D1" s="237"/>
    </row>
    <row r="2" spans="1:8" s="2" customFormat="1" x14ac:dyDescent="0.25">
      <c r="A2" s="242" t="s">
        <v>0</v>
      </c>
      <c r="B2" s="243"/>
      <c r="C2" s="243"/>
      <c r="D2" s="243"/>
      <c r="E2" s="243"/>
      <c r="F2" s="243"/>
      <c r="G2" s="243"/>
      <c r="H2" s="243"/>
    </row>
    <row r="3" spans="1:8" s="2" customFormat="1" ht="21.75" customHeight="1" x14ac:dyDescent="0.25">
      <c r="A3" s="242" t="s">
        <v>130</v>
      </c>
      <c r="B3" s="243"/>
      <c r="C3" s="243"/>
      <c r="D3" s="243"/>
      <c r="E3" s="243"/>
      <c r="F3" s="243"/>
      <c r="G3" s="243"/>
      <c r="H3" s="243"/>
    </row>
    <row r="4" spans="1:8" s="2" customFormat="1" ht="21.75" customHeight="1" x14ac:dyDescent="0.25">
      <c r="B4" s="110"/>
      <c r="C4" s="110"/>
      <c r="D4" s="110"/>
      <c r="E4" s="110"/>
      <c r="F4" s="110"/>
      <c r="G4" s="147"/>
    </row>
    <row r="5" spans="1:8" s="2" customFormat="1" ht="21.75" customHeight="1" x14ac:dyDescent="0.25">
      <c r="A5" s="118" t="s">
        <v>150</v>
      </c>
      <c r="B5" s="132" t="s">
        <v>166</v>
      </c>
      <c r="C5" s="132" t="s">
        <v>167</v>
      </c>
      <c r="D5" s="132" t="s">
        <v>168</v>
      </c>
      <c r="E5" s="154" t="s">
        <v>169</v>
      </c>
      <c r="F5" s="154" t="s">
        <v>170</v>
      </c>
      <c r="G5" s="132" t="s">
        <v>197</v>
      </c>
      <c r="H5" s="132" t="s">
        <v>198</v>
      </c>
    </row>
    <row r="6" spans="1:8" s="2" customFormat="1" ht="42.6" customHeight="1" x14ac:dyDescent="0.25">
      <c r="A6" s="119" t="s">
        <v>151</v>
      </c>
      <c r="B6" s="238" t="s">
        <v>1</v>
      </c>
      <c r="C6" s="239"/>
      <c r="D6" s="239"/>
      <c r="E6" s="120" t="s">
        <v>2</v>
      </c>
      <c r="F6" s="120" t="s">
        <v>2</v>
      </c>
      <c r="G6" s="151" t="s">
        <v>269</v>
      </c>
      <c r="H6" s="152" t="s">
        <v>270</v>
      </c>
    </row>
    <row r="7" spans="1:8" s="2" customFormat="1" ht="21.75" customHeight="1" x14ac:dyDescent="0.25">
      <c r="A7" s="119" t="s">
        <v>152</v>
      </c>
      <c r="B7" s="240"/>
      <c r="C7" s="241"/>
      <c r="D7" s="241"/>
      <c r="E7" s="59" t="s">
        <v>112</v>
      </c>
      <c r="F7" s="59" t="s">
        <v>146</v>
      </c>
      <c r="G7" s="153" t="s">
        <v>271</v>
      </c>
      <c r="H7" s="153" t="s">
        <v>272</v>
      </c>
    </row>
    <row r="8" spans="1:8" s="2" customFormat="1" ht="30" customHeight="1" x14ac:dyDescent="0.25">
      <c r="A8" s="119" t="s">
        <v>153</v>
      </c>
      <c r="B8" s="4"/>
      <c r="C8" s="4" t="s">
        <v>3</v>
      </c>
      <c r="D8" s="4"/>
      <c r="E8" s="5">
        <f>SUM(E9:E11)</f>
        <v>150327500</v>
      </c>
      <c r="F8" s="5">
        <f>SUM(F9:F11)</f>
        <v>166556099</v>
      </c>
      <c r="G8" s="5">
        <f>SUM(G9:G11)</f>
        <v>166277557</v>
      </c>
      <c r="H8" s="206">
        <f>G8/F8</f>
        <v>0.99832763854537687</v>
      </c>
    </row>
    <row r="9" spans="1:8" s="2" customFormat="1" ht="18" customHeight="1" x14ac:dyDescent="0.25">
      <c r="A9" s="119" t="s">
        <v>154</v>
      </c>
      <c r="B9" s="2" t="s">
        <v>4</v>
      </c>
      <c r="C9" s="2" t="s">
        <v>5</v>
      </c>
      <c r="E9" s="6">
        <f>[1]Bevételek!F28</f>
        <v>2350000</v>
      </c>
      <c r="F9" s="6">
        <f>Bevételek!H38</f>
        <v>13848648</v>
      </c>
      <c r="G9" s="6">
        <f>Bevételek!I38</f>
        <v>13570195</v>
      </c>
      <c r="H9" s="207">
        <f>G9/F9</f>
        <v>0.97989312747352664</v>
      </c>
    </row>
    <row r="10" spans="1:8" s="2" customFormat="1" ht="16.5" customHeight="1" x14ac:dyDescent="0.25">
      <c r="A10" s="119" t="s">
        <v>155</v>
      </c>
      <c r="B10" s="2" t="s">
        <v>6</v>
      </c>
      <c r="C10" s="2" t="s">
        <v>7</v>
      </c>
      <c r="E10" s="6">
        <f>[1]Bevételek!F29</f>
        <v>100</v>
      </c>
      <c r="F10" s="6">
        <f>Bevételek!H39</f>
        <v>102</v>
      </c>
      <c r="G10" s="6">
        <f>Bevételek!I39</f>
        <v>13</v>
      </c>
      <c r="H10" s="207">
        <f t="shared" ref="H10:H12" si="0">G10/F10</f>
        <v>0.12745098039215685</v>
      </c>
    </row>
    <row r="11" spans="1:8" s="2" customFormat="1" ht="16.5" customHeight="1" x14ac:dyDescent="0.25">
      <c r="A11" s="119" t="s">
        <v>156</v>
      </c>
      <c r="B11" s="2" t="s">
        <v>8</v>
      </c>
      <c r="C11" s="2" t="s">
        <v>9</v>
      </c>
      <c r="E11" s="7">
        <f>[1]Bevételek!F30</f>
        <v>147977400</v>
      </c>
      <c r="F11" s="7">
        <f>Bevételek!H40</f>
        <v>152707349</v>
      </c>
      <c r="G11" s="7">
        <f>Bevételek!I40</f>
        <v>152707349</v>
      </c>
      <c r="H11" s="207">
        <f t="shared" si="0"/>
        <v>1</v>
      </c>
    </row>
    <row r="12" spans="1:8" s="2" customFormat="1" ht="29.25" customHeight="1" x14ac:dyDescent="0.25">
      <c r="A12" s="119" t="s">
        <v>157</v>
      </c>
      <c r="B12" s="8" t="s">
        <v>10</v>
      </c>
      <c r="C12" s="8"/>
      <c r="D12" s="8"/>
      <c r="E12" s="9">
        <f>SUM(E8)</f>
        <v>150327500</v>
      </c>
      <c r="F12" s="9">
        <f>SUM(F8)</f>
        <v>166556099</v>
      </c>
      <c r="G12" s="208">
        <f>SUM(G8)</f>
        <v>166277557</v>
      </c>
      <c r="H12" s="209">
        <f t="shared" si="0"/>
        <v>0.99832763854537687</v>
      </c>
    </row>
    <row r="13" spans="1:8" s="2" customFormat="1" ht="36.75" customHeight="1" x14ac:dyDescent="0.25">
      <c r="A13" s="119" t="s">
        <v>158</v>
      </c>
      <c r="B13" s="4"/>
      <c r="C13" s="4" t="s">
        <v>11</v>
      </c>
      <c r="D13" s="4"/>
      <c r="E13" s="5">
        <f>SUM(E14:E18)</f>
        <v>150327500.081</v>
      </c>
      <c r="F13" s="5">
        <f>SUM(F14:F18)</f>
        <v>166556099</v>
      </c>
      <c r="G13" s="5">
        <f>SUM(G14:G18)</f>
        <v>154803470</v>
      </c>
      <c r="H13" s="206">
        <f>G13/F13</f>
        <v>0.92943741435730909</v>
      </c>
    </row>
    <row r="14" spans="1:8" s="2" customFormat="1" ht="18" customHeight="1" x14ac:dyDescent="0.25">
      <c r="A14" s="119" t="s">
        <v>159</v>
      </c>
      <c r="B14" s="2" t="s">
        <v>12</v>
      </c>
      <c r="C14" s="2" t="s">
        <v>13</v>
      </c>
      <c r="E14" s="6">
        <f>[1]Kiadások!F61</f>
        <v>113800000</v>
      </c>
      <c r="F14" s="6">
        <f>Kiadások!H106</f>
        <v>125191821</v>
      </c>
      <c r="G14" s="6">
        <f>Kiadások!I106</f>
        <v>120863168</v>
      </c>
      <c r="H14" s="207">
        <f>G14/F14</f>
        <v>0.96542383547564181</v>
      </c>
    </row>
    <row r="15" spans="1:8" s="2" customFormat="1" ht="18" customHeight="1" x14ac:dyDescent="0.25">
      <c r="A15" s="119" t="s">
        <v>160</v>
      </c>
      <c r="B15" s="2" t="s">
        <v>14</v>
      </c>
      <c r="C15" s="2" t="s">
        <v>15</v>
      </c>
      <c r="E15" s="7">
        <f>[1]Kiadások!F62</f>
        <v>15666500</v>
      </c>
      <c r="F15" s="7">
        <f>Kiadások!H107</f>
        <v>17118103</v>
      </c>
      <c r="G15" s="7">
        <f>Kiadások!I107</f>
        <v>16662379</v>
      </c>
      <c r="H15" s="207">
        <f t="shared" ref="H15:H19" si="1">G15/F15</f>
        <v>0.97337765755936856</v>
      </c>
    </row>
    <row r="16" spans="1:8" s="2" customFormat="1" ht="16.5" customHeight="1" x14ac:dyDescent="0.25">
      <c r="A16" s="119" t="s">
        <v>161</v>
      </c>
      <c r="B16" s="2" t="s">
        <v>16</v>
      </c>
      <c r="C16" s="2" t="s">
        <v>17</v>
      </c>
      <c r="E16" s="7">
        <f>[1]Kiadások!F63</f>
        <v>18211000</v>
      </c>
      <c r="F16" s="7">
        <f>Kiadások!H108</f>
        <v>21041860</v>
      </c>
      <c r="G16" s="7">
        <f>Kiadások!I108</f>
        <v>15082983</v>
      </c>
      <c r="H16" s="207">
        <f t="shared" si="1"/>
        <v>0.71680844754218498</v>
      </c>
    </row>
    <row r="17" spans="1:8" s="2" customFormat="1" ht="16.5" customHeight="1" x14ac:dyDescent="0.25">
      <c r="A17" s="119" t="s">
        <v>162</v>
      </c>
      <c r="B17" s="2" t="s">
        <v>18</v>
      </c>
      <c r="C17" s="236" t="s">
        <v>19</v>
      </c>
      <c r="D17" s="236"/>
      <c r="E17" s="7">
        <f>[1]Kiadások!F64</f>
        <v>2500000</v>
      </c>
      <c r="F17" s="7">
        <f>Kiadások!H109</f>
        <v>2500000</v>
      </c>
      <c r="G17" s="7">
        <f>Kiadások!I109</f>
        <v>1531715</v>
      </c>
      <c r="H17" s="207">
        <f t="shared" si="1"/>
        <v>0.61268599999999995</v>
      </c>
    </row>
    <row r="18" spans="1:8" s="2" customFormat="1" ht="16.5" customHeight="1" x14ac:dyDescent="0.25">
      <c r="A18" s="119" t="s">
        <v>163</v>
      </c>
      <c r="B18" s="2" t="s">
        <v>128</v>
      </c>
      <c r="C18" s="236" t="s">
        <v>121</v>
      </c>
      <c r="D18" s="236"/>
      <c r="E18" s="7">
        <f>[1]Kiadások!F53</f>
        <v>150000.08100000001</v>
      </c>
      <c r="F18" s="7">
        <f>Kiadások!H110</f>
        <v>704315</v>
      </c>
      <c r="G18" s="7">
        <f>Kiadások!I110</f>
        <v>663225</v>
      </c>
      <c r="H18" s="207">
        <f t="shared" si="1"/>
        <v>0.94165962672951731</v>
      </c>
    </row>
    <row r="19" spans="1:8" s="2" customFormat="1" ht="30.75" customHeight="1" x14ac:dyDescent="0.25">
      <c r="A19" s="119" t="s">
        <v>164</v>
      </c>
      <c r="B19" s="8" t="s">
        <v>20</v>
      </c>
      <c r="C19" s="8"/>
      <c r="D19" s="8"/>
      <c r="E19" s="9">
        <f>SUM(E13)</f>
        <v>150327500.081</v>
      </c>
      <c r="F19" s="9">
        <f>SUM(F13)</f>
        <v>166556099</v>
      </c>
      <c r="G19" s="9">
        <f>SUM(G13)</f>
        <v>154803470</v>
      </c>
      <c r="H19" s="207">
        <f t="shared" si="1"/>
        <v>0.92943741435730909</v>
      </c>
    </row>
    <row r="20" spans="1:8" s="2" customFormat="1" ht="15.75" customHeight="1" x14ac:dyDescent="0.25">
      <c r="B20" s="10"/>
      <c r="C20" s="10"/>
      <c r="D20" s="10"/>
      <c r="E20" s="11"/>
      <c r="F20" s="11"/>
      <c r="G20" s="11"/>
    </row>
    <row r="21" spans="1:8" s="2" customFormat="1" x14ac:dyDescent="0.25">
      <c r="E21" s="12"/>
      <c r="F21" s="129"/>
      <c r="G21" s="129"/>
    </row>
    <row r="22" spans="1:8" s="2" customFormat="1" x14ac:dyDescent="0.25"/>
  </sheetData>
  <sheetProtection selectLockedCells="1" selectUnlockedCells="1"/>
  <mergeCells count="6">
    <mergeCell ref="C18:D18"/>
    <mergeCell ref="B1:D1"/>
    <mergeCell ref="B6:D7"/>
    <mergeCell ref="C17:D17"/>
    <mergeCell ref="A2:H2"/>
    <mergeCell ref="A3:H3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64" firstPageNumber="0" orientation="portrait" verticalDpi="300" r:id="rId1"/>
  <headerFooter alignWithMargins="0"/>
  <colBreaks count="1" manualBreakCount="1">
    <brk id="8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zoomScaleNormal="100" zoomScaleSheetLayoutView="100" workbookViewId="0">
      <selection activeCell="B23" sqref="B23:F23"/>
    </sheetView>
  </sheetViews>
  <sheetFormatPr defaultColWidth="8.875" defaultRowHeight="15.75" x14ac:dyDescent="0.25"/>
  <cols>
    <col min="1" max="1" width="4.25" style="3" customWidth="1"/>
    <col min="2" max="2" width="4" customWidth="1"/>
    <col min="3" max="3" width="5.625" customWidth="1"/>
    <col min="4" max="5" width="6" customWidth="1"/>
    <col min="6" max="6" width="44.875" customWidth="1"/>
    <col min="7" max="7" width="18.625" style="13" customWidth="1"/>
    <col min="8" max="8" width="18" style="13" customWidth="1"/>
    <col min="9" max="10" width="17.75" style="13" customWidth="1"/>
  </cols>
  <sheetData>
    <row r="1" spans="1:10" s="2" customFormat="1" ht="21.75" customHeight="1" x14ac:dyDescent="0.25">
      <c r="A1" s="242" t="s">
        <v>0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s="2" customFormat="1" ht="23.25" customHeight="1" x14ac:dyDescent="0.25">
      <c r="A2" s="242" t="s">
        <v>129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0" s="2" customFormat="1" ht="27" customHeight="1" x14ac:dyDescent="0.25">
      <c r="A3" s="244" t="s">
        <v>21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s="135" customFormat="1" ht="25.15" customHeight="1" x14ac:dyDescent="0.25">
      <c r="A4" s="118" t="s">
        <v>174</v>
      </c>
      <c r="B4" s="132" t="s">
        <v>166</v>
      </c>
      <c r="C4" s="132" t="s">
        <v>167</v>
      </c>
      <c r="D4" s="132" t="s">
        <v>168</v>
      </c>
      <c r="E4" s="132" t="s">
        <v>169</v>
      </c>
      <c r="F4" s="157" t="s">
        <v>170</v>
      </c>
      <c r="G4" s="132" t="s">
        <v>197</v>
      </c>
      <c r="H4" s="132" t="s">
        <v>198</v>
      </c>
      <c r="I4" s="158" t="s">
        <v>273</v>
      </c>
      <c r="J4" s="158" t="s">
        <v>274</v>
      </c>
    </row>
    <row r="5" spans="1:10" s="4" customFormat="1" ht="41.45" customHeight="1" x14ac:dyDescent="0.25">
      <c r="A5" s="121" t="s">
        <v>151</v>
      </c>
      <c r="B5" s="249" t="s">
        <v>22</v>
      </c>
      <c r="C5" s="249"/>
      <c r="D5" s="249"/>
      <c r="E5" s="249"/>
      <c r="F5" s="249"/>
      <c r="G5" s="155" t="s">
        <v>2</v>
      </c>
      <c r="H5" s="155" t="s">
        <v>2</v>
      </c>
      <c r="I5" s="156" t="s">
        <v>269</v>
      </c>
      <c r="J5" s="156" t="s">
        <v>270</v>
      </c>
    </row>
    <row r="6" spans="1:10" s="4" customFormat="1" ht="16.5" customHeight="1" x14ac:dyDescent="0.25">
      <c r="A6" s="121" t="s">
        <v>152</v>
      </c>
      <c r="B6" s="250"/>
      <c r="C6" s="251"/>
      <c r="D6" s="251"/>
      <c r="E6" s="251"/>
      <c r="F6" s="251"/>
      <c r="G6" s="148" t="s">
        <v>112</v>
      </c>
      <c r="H6" s="148" t="s">
        <v>146</v>
      </c>
      <c r="I6" s="148" t="s">
        <v>275</v>
      </c>
      <c r="J6" s="148" t="s">
        <v>276</v>
      </c>
    </row>
    <row r="7" spans="1:10" s="4" customFormat="1" ht="34.9" customHeight="1" x14ac:dyDescent="0.25">
      <c r="A7" s="121" t="s">
        <v>153</v>
      </c>
      <c r="B7" s="247" t="s">
        <v>23</v>
      </c>
      <c r="C7" s="248"/>
      <c r="D7" s="248"/>
      <c r="E7" s="248"/>
      <c r="F7" s="248"/>
      <c r="G7" s="55">
        <f>G8+G10</f>
        <v>2350100</v>
      </c>
      <c r="H7" s="55">
        <f>H8+H10</f>
        <v>3580151</v>
      </c>
      <c r="I7" s="55">
        <f>I8+I10</f>
        <v>3580062</v>
      </c>
      <c r="J7" s="193">
        <f>I7/H7</f>
        <v>0.99997514071333859</v>
      </c>
    </row>
    <row r="8" spans="1:10" s="4" customFormat="1" ht="18" customHeight="1" x14ac:dyDescent="0.25">
      <c r="A8" s="121" t="s">
        <v>154</v>
      </c>
      <c r="B8" s="10" t="s">
        <v>4</v>
      </c>
      <c r="C8" s="10" t="s">
        <v>24</v>
      </c>
      <c r="D8" s="10"/>
      <c r="E8" s="10"/>
      <c r="F8" s="14"/>
      <c r="G8" s="15">
        <f>G9</f>
        <v>2350000</v>
      </c>
      <c r="H8" s="15">
        <f>H9</f>
        <v>3580051</v>
      </c>
      <c r="I8" s="15">
        <f>I9</f>
        <v>3580051</v>
      </c>
      <c r="J8" s="194">
        <f>I8/H8</f>
        <v>1</v>
      </c>
    </row>
    <row r="9" spans="1:10" s="2" customFormat="1" ht="18" customHeight="1" x14ac:dyDescent="0.25">
      <c r="A9" s="121" t="s">
        <v>155</v>
      </c>
      <c r="B9" s="16"/>
      <c r="C9" s="16" t="s">
        <v>25</v>
      </c>
      <c r="D9" s="16" t="s">
        <v>26</v>
      </c>
      <c r="E9" s="16"/>
      <c r="F9" s="17"/>
      <c r="G9" s="18">
        <f>1600000+750000</f>
        <v>2350000</v>
      </c>
      <c r="H9" s="18">
        <v>3580051</v>
      </c>
      <c r="I9" s="18">
        <v>3580051</v>
      </c>
      <c r="J9" s="194">
        <f t="shared" ref="J9:J12" si="0">I9/H9</f>
        <v>1</v>
      </c>
    </row>
    <row r="10" spans="1:10" s="4" customFormat="1" ht="18" customHeight="1" x14ac:dyDescent="0.25">
      <c r="A10" s="121" t="s">
        <v>156</v>
      </c>
      <c r="B10" s="10" t="s">
        <v>6</v>
      </c>
      <c r="C10" s="10" t="s">
        <v>7</v>
      </c>
      <c r="D10" s="10"/>
      <c r="E10" s="10"/>
      <c r="F10" s="14"/>
      <c r="G10" s="19">
        <f>SUM(G11:G12)</f>
        <v>100</v>
      </c>
      <c r="H10" s="19">
        <f>SUM(H11:H12)</f>
        <v>100</v>
      </c>
      <c r="I10" s="19">
        <f>SUM(I11:I12)</f>
        <v>11</v>
      </c>
      <c r="J10" s="194">
        <f t="shared" si="0"/>
        <v>0.11</v>
      </c>
    </row>
    <row r="11" spans="1:10" s="2" customFormat="1" ht="18" customHeight="1" x14ac:dyDescent="0.25">
      <c r="A11" s="121" t="s">
        <v>157</v>
      </c>
      <c r="B11" s="16"/>
      <c r="C11" s="16" t="s">
        <v>27</v>
      </c>
      <c r="D11" s="246" t="s">
        <v>28</v>
      </c>
      <c r="E11" s="246"/>
      <c r="F11" s="246"/>
      <c r="G11" s="18">
        <v>100</v>
      </c>
      <c r="H11" s="18">
        <v>100</v>
      </c>
      <c r="I11" s="18">
        <v>9</v>
      </c>
      <c r="J11" s="194">
        <f t="shared" si="0"/>
        <v>0.09</v>
      </c>
    </row>
    <row r="12" spans="1:10" s="2" customFormat="1" ht="18" customHeight="1" x14ac:dyDescent="0.25">
      <c r="A12" s="121" t="s">
        <v>158</v>
      </c>
      <c r="B12" s="16"/>
      <c r="C12" s="21" t="s">
        <v>29</v>
      </c>
      <c r="D12" s="22" t="s">
        <v>30</v>
      </c>
      <c r="E12" s="22"/>
      <c r="F12" s="20"/>
      <c r="G12" s="18">
        <v>0</v>
      </c>
      <c r="H12" s="18">
        <v>0</v>
      </c>
      <c r="I12" s="18">
        <v>2</v>
      </c>
      <c r="J12" s="194" t="e">
        <f t="shared" si="0"/>
        <v>#DIV/0!</v>
      </c>
    </row>
    <row r="13" spans="1:10" s="4" customFormat="1" ht="34.15" customHeight="1" x14ac:dyDescent="0.25">
      <c r="A13" s="121" t="s">
        <v>159</v>
      </c>
      <c r="B13" s="247" t="s">
        <v>142</v>
      </c>
      <c r="C13" s="248"/>
      <c r="D13" s="248"/>
      <c r="E13" s="248"/>
      <c r="F13" s="248"/>
      <c r="G13" s="92">
        <f t="shared" ref="G13:I21" si="1">G14</f>
        <v>0</v>
      </c>
      <c r="H13" s="92">
        <f>H14+H17</f>
        <v>5542309</v>
      </c>
      <c r="I13" s="92">
        <f>I14+I17</f>
        <v>5542309</v>
      </c>
      <c r="J13" s="183">
        <f>I13/H13</f>
        <v>1</v>
      </c>
    </row>
    <row r="14" spans="1:10" s="2" customFormat="1" ht="15.75" customHeight="1" x14ac:dyDescent="0.25">
      <c r="A14" s="121" t="s">
        <v>160</v>
      </c>
      <c r="B14" s="93" t="s">
        <v>4</v>
      </c>
      <c r="C14" s="10" t="s">
        <v>5</v>
      </c>
      <c r="D14" s="10"/>
      <c r="E14" s="94"/>
      <c r="F14" s="95"/>
      <c r="G14" s="96">
        <f t="shared" si="1"/>
        <v>0</v>
      </c>
      <c r="H14" s="96">
        <f t="shared" si="1"/>
        <v>5542307</v>
      </c>
      <c r="I14" s="96">
        <f t="shared" si="1"/>
        <v>5542307</v>
      </c>
      <c r="J14" s="196">
        <f>I14/H14</f>
        <v>1</v>
      </c>
    </row>
    <row r="15" spans="1:10" s="2" customFormat="1" ht="15.75" customHeight="1" x14ac:dyDescent="0.25">
      <c r="A15" s="121" t="s">
        <v>161</v>
      </c>
      <c r="B15" s="23"/>
      <c r="C15" s="22" t="s">
        <v>25</v>
      </c>
      <c r="D15" s="16" t="s">
        <v>26</v>
      </c>
      <c r="E15" s="10"/>
      <c r="F15" s="24"/>
      <c r="G15" s="30">
        <f t="shared" si="1"/>
        <v>0</v>
      </c>
      <c r="H15" s="30">
        <f t="shared" si="1"/>
        <v>5542307</v>
      </c>
      <c r="I15" s="30">
        <f t="shared" si="1"/>
        <v>5542307</v>
      </c>
      <c r="J15" s="197">
        <f t="shared" ref="J15:J18" si="2">I15/H15</f>
        <v>1</v>
      </c>
    </row>
    <row r="16" spans="1:10" s="2" customFormat="1" ht="15.75" customHeight="1" x14ac:dyDescent="0.25">
      <c r="A16" s="121" t="s">
        <v>162</v>
      </c>
      <c r="B16" s="23"/>
      <c r="C16" s="22"/>
      <c r="D16" s="16"/>
      <c r="E16" s="10"/>
      <c r="F16" s="42" t="s">
        <v>143</v>
      </c>
      <c r="G16" s="30">
        <v>0</v>
      </c>
      <c r="H16" s="30">
        <f>5511177+31130</f>
        <v>5542307</v>
      </c>
      <c r="I16" s="30">
        <f>5511177+31130</f>
        <v>5542307</v>
      </c>
      <c r="J16" s="197">
        <f t="shared" si="2"/>
        <v>1</v>
      </c>
    </row>
    <row r="17" spans="1:10" s="4" customFormat="1" ht="18" customHeight="1" x14ac:dyDescent="0.25">
      <c r="A17" s="121" t="s">
        <v>163</v>
      </c>
      <c r="B17" s="10" t="s">
        <v>6</v>
      </c>
      <c r="C17" s="10" t="s">
        <v>7</v>
      </c>
      <c r="D17" s="10"/>
      <c r="E17" s="10"/>
      <c r="F17" s="14"/>
      <c r="G17" s="19">
        <f>SUM(G18:G18)</f>
        <v>0</v>
      </c>
      <c r="H17" s="19">
        <f>SUM(H18:H18)</f>
        <v>2</v>
      </c>
      <c r="I17" s="19">
        <f>SUM(I18:I18)</f>
        <v>2</v>
      </c>
      <c r="J17" s="197">
        <f t="shared" si="2"/>
        <v>1</v>
      </c>
    </row>
    <row r="18" spans="1:10" s="2" customFormat="1" ht="18" customHeight="1" x14ac:dyDescent="0.25">
      <c r="A18" s="121" t="s">
        <v>164</v>
      </c>
      <c r="B18" s="16"/>
      <c r="C18" s="21" t="s">
        <v>29</v>
      </c>
      <c r="D18" s="22" t="s">
        <v>173</v>
      </c>
      <c r="E18" s="22"/>
      <c r="F18" s="111"/>
      <c r="G18" s="18">
        <v>0</v>
      </c>
      <c r="H18" s="18">
        <v>2</v>
      </c>
      <c r="I18" s="18">
        <v>2</v>
      </c>
      <c r="J18" s="198">
        <f t="shared" si="2"/>
        <v>1</v>
      </c>
    </row>
    <row r="19" spans="1:10" s="4" customFormat="1" ht="34.15" customHeight="1" x14ac:dyDescent="0.25">
      <c r="A19" s="121" t="s">
        <v>165</v>
      </c>
      <c r="B19" s="247" t="s">
        <v>171</v>
      </c>
      <c r="C19" s="248"/>
      <c r="D19" s="248"/>
      <c r="E19" s="248"/>
      <c r="F19" s="248"/>
      <c r="G19" s="92">
        <f t="shared" si="1"/>
        <v>0</v>
      </c>
      <c r="H19" s="92">
        <f t="shared" si="1"/>
        <v>4726290</v>
      </c>
      <c r="I19" s="92">
        <f t="shared" si="1"/>
        <v>4447837</v>
      </c>
      <c r="J19" s="183">
        <f t="shared" ref="J19:J25" si="3">I19/H19</f>
        <v>0.94108423308768607</v>
      </c>
    </row>
    <row r="20" spans="1:10" s="2" customFormat="1" ht="15.75" customHeight="1" x14ac:dyDescent="0.25">
      <c r="A20" s="121" t="s">
        <v>175</v>
      </c>
      <c r="B20" s="93" t="s">
        <v>4</v>
      </c>
      <c r="C20" s="10" t="s">
        <v>5</v>
      </c>
      <c r="D20" s="10"/>
      <c r="E20" s="94"/>
      <c r="F20" s="95"/>
      <c r="G20" s="96">
        <f t="shared" si="1"/>
        <v>0</v>
      </c>
      <c r="H20" s="96">
        <f t="shared" si="1"/>
        <v>4726290</v>
      </c>
      <c r="I20" s="96">
        <f t="shared" si="1"/>
        <v>4447837</v>
      </c>
      <c r="J20" s="196">
        <f t="shared" si="3"/>
        <v>0.94108423308768607</v>
      </c>
    </row>
    <row r="21" spans="1:10" s="2" customFormat="1" ht="15.75" customHeight="1" x14ac:dyDescent="0.25">
      <c r="A21" s="121" t="s">
        <v>176</v>
      </c>
      <c r="B21" s="23"/>
      <c r="C21" s="22" t="s">
        <v>25</v>
      </c>
      <c r="D21" s="16" t="s">
        <v>26</v>
      </c>
      <c r="E21" s="10"/>
      <c r="F21" s="24"/>
      <c r="G21" s="30">
        <f t="shared" si="1"/>
        <v>0</v>
      </c>
      <c r="H21" s="30">
        <f t="shared" si="1"/>
        <v>4726290</v>
      </c>
      <c r="I21" s="30">
        <f t="shared" si="1"/>
        <v>4447837</v>
      </c>
      <c r="J21" s="199">
        <f t="shared" si="3"/>
        <v>0.94108423308768607</v>
      </c>
    </row>
    <row r="22" spans="1:10" s="2" customFormat="1" ht="15.75" customHeight="1" x14ac:dyDescent="0.25">
      <c r="A22" s="121" t="s">
        <v>177</v>
      </c>
      <c r="B22" s="23"/>
      <c r="C22" s="22"/>
      <c r="D22" s="16"/>
      <c r="E22" s="10"/>
      <c r="F22" s="42" t="s">
        <v>511</v>
      </c>
      <c r="G22" s="30">
        <v>0</v>
      </c>
      <c r="H22" s="30">
        <f>3537902+1188388</f>
        <v>4726290</v>
      </c>
      <c r="I22" s="30">
        <v>4447837</v>
      </c>
      <c r="J22" s="199">
        <f t="shared" si="3"/>
        <v>0.94108423308768607</v>
      </c>
    </row>
    <row r="23" spans="1:10" s="2" customFormat="1" ht="36" customHeight="1" x14ac:dyDescent="0.25">
      <c r="A23" s="121" t="s">
        <v>178</v>
      </c>
      <c r="B23" s="247" t="s">
        <v>31</v>
      </c>
      <c r="C23" s="248"/>
      <c r="D23" s="248"/>
      <c r="E23" s="248"/>
      <c r="F23" s="248"/>
      <c r="G23" s="55">
        <f t="shared" ref="G23:G24" si="4">G24</f>
        <v>147977400</v>
      </c>
      <c r="H23" s="55">
        <f t="shared" ref="H23:I24" si="5">H24</f>
        <v>152707349</v>
      </c>
      <c r="I23" s="55">
        <f t="shared" si="5"/>
        <v>152707349</v>
      </c>
      <c r="J23" s="193">
        <f t="shared" si="3"/>
        <v>1</v>
      </c>
    </row>
    <row r="24" spans="1:10" s="2" customFormat="1" ht="18" customHeight="1" x14ac:dyDescent="0.25">
      <c r="A24" s="121" t="s">
        <v>179</v>
      </c>
      <c r="B24" s="10" t="s">
        <v>8</v>
      </c>
      <c r="C24" s="25" t="s">
        <v>9</v>
      </c>
      <c r="D24" s="10"/>
      <c r="E24" s="10"/>
      <c r="F24" s="14"/>
      <c r="G24" s="26">
        <f t="shared" si="4"/>
        <v>147977400</v>
      </c>
      <c r="H24" s="26">
        <f t="shared" si="5"/>
        <v>152707349</v>
      </c>
      <c r="I24" s="26">
        <f t="shared" si="5"/>
        <v>152707349</v>
      </c>
      <c r="J24" s="200">
        <f t="shared" si="3"/>
        <v>1</v>
      </c>
    </row>
    <row r="25" spans="1:10" s="2" customFormat="1" ht="18" customHeight="1" x14ac:dyDescent="0.25">
      <c r="A25" s="121" t="s">
        <v>180</v>
      </c>
      <c r="B25" s="10"/>
      <c r="C25" s="21" t="s">
        <v>32</v>
      </c>
      <c r="D25" s="16" t="s">
        <v>33</v>
      </c>
      <c r="E25" s="27"/>
      <c r="F25" s="17"/>
      <c r="G25" s="28">
        <f>G26+G27</f>
        <v>147977400</v>
      </c>
      <c r="H25" s="28">
        <f>H26+H27</f>
        <v>152707349</v>
      </c>
      <c r="I25" s="28">
        <f>I26+I27</f>
        <v>152707349</v>
      </c>
      <c r="J25" s="201">
        <f t="shared" si="3"/>
        <v>1</v>
      </c>
    </row>
    <row r="26" spans="1:10" s="2" customFormat="1" ht="18" customHeight="1" x14ac:dyDescent="0.25">
      <c r="A26" s="121" t="s">
        <v>181</v>
      </c>
      <c r="B26" s="23"/>
      <c r="C26" s="22"/>
      <c r="D26" s="16" t="s">
        <v>34</v>
      </c>
      <c r="E26" s="10"/>
      <c r="F26" s="24"/>
      <c r="G26" s="29">
        <v>13000000</v>
      </c>
      <c r="H26" s="29">
        <v>16065976</v>
      </c>
      <c r="I26" s="29">
        <v>16065976</v>
      </c>
      <c r="J26" s="201">
        <f t="shared" ref="J26:J36" si="6">I26/H26</f>
        <v>1</v>
      </c>
    </row>
    <row r="27" spans="1:10" s="2" customFormat="1" ht="18" customHeight="1" x14ac:dyDescent="0.25">
      <c r="A27" s="121" t="s">
        <v>182</v>
      </c>
      <c r="B27" s="16"/>
      <c r="C27" s="16"/>
      <c r="D27" s="21" t="s">
        <v>35</v>
      </c>
      <c r="E27" s="16" t="s">
        <v>36</v>
      </c>
      <c r="F27" s="17"/>
      <c r="G27" s="30">
        <f>SUM(G28:G36)</f>
        <v>134977400</v>
      </c>
      <c r="H27" s="30">
        <f>SUM(H28:H36)</f>
        <v>136641373</v>
      </c>
      <c r="I27" s="30">
        <f>SUM(I28:I36)</f>
        <v>136641373</v>
      </c>
      <c r="J27" s="201">
        <f t="shared" si="6"/>
        <v>1</v>
      </c>
    </row>
    <row r="28" spans="1:10" s="2" customFormat="1" ht="18" customHeight="1" x14ac:dyDescent="0.25">
      <c r="A28" s="121" t="s">
        <v>183</v>
      </c>
      <c r="B28" s="16"/>
      <c r="C28" s="16"/>
      <c r="D28" s="21"/>
      <c r="E28" s="16"/>
      <c r="F28" s="17" t="s">
        <v>37</v>
      </c>
      <c r="G28" s="30">
        <v>71133217</v>
      </c>
      <c r="H28" s="30">
        <f>71133217+537171</f>
        <v>71670388</v>
      </c>
      <c r="I28" s="30">
        <f>71133217+537171</f>
        <v>71670388</v>
      </c>
      <c r="J28" s="201">
        <f t="shared" si="6"/>
        <v>1</v>
      </c>
    </row>
    <row r="29" spans="1:10" s="2" customFormat="1" ht="18" customHeight="1" x14ac:dyDescent="0.25">
      <c r="A29" s="121" t="s">
        <v>184</v>
      </c>
      <c r="B29" s="16"/>
      <c r="C29" s="16"/>
      <c r="D29" s="16"/>
      <c r="E29" s="16"/>
      <c r="F29" s="20" t="s">
        <v>38</v>
      </c>
      <c r="G29" s="30">
        <v>15407061</v>
      </c>
      <c r="H29" s="30">
        <f>15407061+271923</f>
        <v>15678984</v>
      </c>
      <c r="I29" s="30">
        <f>15407061+271923</f>
        <v>15678984</v>
      </c>
      <c r="J29" s="201">
        <f t="shared" si="6"/>
        <v>1</v>
      </c>
    </row>
    <row r="30" spans="1:10" s="2" customFormat="1" ht="18" customHeight="1" x14ac:dyDescent="0.25">
      <c r="A30" s="121" t="s">
        <v>185</v>
      </c>
      <c r="B30" s="16"/>
      <c r="C30" s="16"/>
      <c r="D30" s="16"/>
      <c r="E30" s="16"/>
      <c r="F30" s="20" t="s">
        <v>126</v>
      </c>
      <c r="G30" s="30">
        <v>1484262</v>
      </c>
      <c r="H30" s="30">
        <f>1484262+26196</f>
        <v>1510458</v>
      </c>
      <c r="I30" s="30">
        <f>1484262+26196</f>
        <v>1510458</v>
      </c>
      <c r="J30" s="201">
        <f t="shared" si="6"/>
        <v>1</v>
      </c>
    </row>
    <row r="31" spans="1:10" s="2" customFormat="1" ht="18" customHeight="1" x14ac:dyDescent="0.25">
      <c r="A31" s="121" t="s">
        <v>186</v>
      </c>
      <c r="B31" s="16"/>
      <c r="C31" s="16"/>
      <c r="D31" s="16"/>
      <c r="E31" s="16"/>
      <c r="F31" s="20" t="s">
        <v>39</v>
      </c>
      <c r="G31" s="30">
        <v>5247181</v>
      </c>
      <c r="H31" s="30">
        <f>5247181+92609</f>
        <v>5339790</v>
      </c>
      <c r="I31" s="30">
        <f>5247181+92609</f>
        <v>5339790</v>
      </c>
      <c r="J31" s="201">
        <f t="shared" si="6"/>
        <v>1</v>
      </c>
    </row>
    <row r="32" spans="1:10" s="2" customFormat="1" ht="18" customHeight="1" x14ac:dyDescent="0.25">
      <c r="A32" s="121" t="s">
        <v>187</v>
      </c>
      <c r="B32" s="16"/>
      <c r="C32" s="16"/>
      <c r="D32" s="16"/>
      <c r="E32" s="16"/>
      <c r="F32" s="20" t="s">
        <v>40</v>
      </c>
      <c r="G32" s="30">
        <v>7860319</v>
      </c>
      <c r="H32" s="30">
        <f>7860319+138729</f>
        <v>7999048</v>
      </c>
      <c r="I32" s="30">
        <f>7860319+138729</f>
        <v>7999048</v>
      </c>
      <c r="J32" s="201">
        <f t="shared" si="6"/>
        <v>1</v>
      </c>
    </row>
    <row r="33" spans="1:10" s="2" customFormat="1" ht="18" customHeight="1" x14ac:dyDescent="0.25">
      <c r="A33" s="121" t="s">
        <v>188</v>
      </c>
      <c r="B33" s="16"/>
      <c r="C33" s="16"/>
      <c r="D33" s="16"/>
      <c r="E33" s="16"/>
      <c r="F33" s="20" t="s">
        <v>41</v>
      </c>
      <c r="G33" s="30">
        <v>4390071</v>
      </c>
      <c r="H33" s="30">
        <f>4390071+77481</f>
        <v>4467552</v>
      </c>
      <c r="I33" s="30">
        <f>4390071+77481</f>
        <v>4467552</v>
      </c>
      <c r="J33" s="201">
        <f t="shared" si="6"/>
        <v>1</v>
      </c>
    </row>
    <row r="34" spans="1:10" s="2" customFormat="1" ht="18" customHeight="1" x14ac:dyDescent="0.25">
      <c r="A34" s="121" t="s">
        <v>189</v>
      </c>
      <c r="B34" s="16"/>
      <c r="C34" s="16"/>
      <c r="D34" s="16"/>
      <c r="E34" s="16"/>
      <c r="F34" s="20" t="s">
        <v>42</v>
      </c>
      <c r="G34" s="30">
        <v>2801284</v>
      </c>
      <c r="H34" s="30">
        <f>2801284+49441</f>
        <v>2850725</v>
      </c>
      <c r="I34" s="30">
        <f>2801284+49441</f>
        <v>2850725</v>
      </c>
      <c r="J34" s="201">
        <f t="shared" si="6"/>
        <v>1</v>
      </c>
    </row>
    <row r="35" spans="1:10" s="2" customFormat="1" ht="18" customHeight="1" x14ac:dyDescent="0.25">
      <c r="A35" s="121" t="s">
        <v>190</v>
      </c>
      <c r="B35" s="16"/>
      <c r="C35" s="16"/>
      <c r="D35" s="16"/>
      <c r="E35" s="16"/>
      <c r="F35" s="20" t="s">
        <v>43</v>
      </c>
      <c r="G35" s="30">
        <v>1463357</v>
      </c>
      <c r="H35" s="30">
        <f>1463357+25827</f>
        <v>1489184</v>
      </c>
      <c r="I35" s="30">
        <f>1463357+25827</f>
        <v>1489184</v>
      </c>
      <c r="J35" s="201">
        <f t="shared" si="6"/>
        <v>1</v>
      </c>
    </row>
    <row r="36" spans="1:10" s="2" customFormat="1" ht="18" customHeight="1" x14ac:dyDescent="0.25">
      <c r="A36" s="121" t="s">
        <v>191</v>
      </c>
      <c r="B36" s="16"/>
      <c r="C36" s="16"/>
      <c r="D36" s="16"/>
      <c r="E36" s="16"/>
      <c r="F36" s="20" t="s">
        <v>44</v>
      </c>
      <c r="G36" s="30">
        <v>25190648</v>
      </c>
      <c r="H36" s="30">
        <f>25190648+444596</f>
        <v>25635244</v>
      </c>
      <c r="I36" s="30">
        <f>25190648+444596</f>
        <v>25635244</v>
      </c>
      <c r="J36" s="201">
        <f t="shared" si="6"/>
        <v>1</v>
      </c>
    </row>
    <row r="37" spans="1:10" s="2" customFormat="1" ht="20.45" customHeight="1" x14ac:dyDescent="0.25">
      <c r="A37" s="121" t="s">
        <v>192</v>
      </c>
      <c r="B37" s="125" t="s">
        <v>45</v>
      </c>
      <c r="C37" s="49"/>
      <c r="D37" s="49"/>
      <c r="E37" s="49"/>
      <c r="F37" s="50"/>
      <c r="G37" s="54">
        <f>G7+G23</f>
        <v>150327500</v>
      </c>
      <c r="H37" s="54">
        <f>H7+H13+H19+H23</f>
        <v>166556099</v>
      </c>
      <c r="I37" s="54">
        <f>I7+I13+I19+I23</f>
        <v>166277557</v>
      </c>
      <c r="J37" s="202">
        <f>I37/H37</f>
        <v>0.99832763854537687</v>
      </c>
    </row>
    <row r="38" spans="1:10" s="2" customFormat="1" ht="18" customHeight="1" x14ac:dyDescent="0.25">
      <c r="A38" s="121" t="s">
        <v>193</v>
      </c>
      <c r="B38" s="31" t="s">
        <v>4</v>
      </c>
      <c r="C38" s="32" t="s">
        <v>5</v>
      </c>
      <c r="D38" s="31"/>
      <c r="E38" s="33"/>
      <c r="F38" s="34"/>
      <c r="G38" s="35">
        <f>G8</f>
        <v>2350000</v>
      </c>
      <c r="H38" s="35">
        <f>H8+H14+H20</f>
        <v>13848648</v>
      </c>
      <c r="I38" s="35">
        <f>I8+I14+I20</f>
        <v>13570195</v>
      </c>
      <c r="J38" s="203">
        <f>I38/H38</f>
        <v>0.97989312747352664</v>
      </c>
    </row>
    <row r="39" spans="1:10" s="2" customFormat="1" ht="18" customHeight="1" x14ac:dyDescent="0.25">
      <c r="A39" s="121" t="s">
        <v>194</v>
      </c>
      <c r="B39" s="32" t="s">
        <v>6</v>
      </c>
      <c r="C39" s="36" t="s">
        <v>7</v>
      </c>
      <c r="D39" s="36"/>
      <c r="E39" s="36"/>
      <c r="F39" s="36"/>
      <c r="G39" s="35">
        <f>G10</f>
        <v>100</v>
      </c>
      <c r="H39" s="35">
        <f>H10+H17</f>
        <v>102</v>
      </c>
      <c r="I39" s="35">
        <f>I10+I17</f>
        <v>13</v>
      </c>
      <c r="J39" s="203">
        <f>I39/H39</f>
        <v>0.12745098039215685</v>
      </c>
    </row>
    <row r="40" spans="1:10" s="2" customFormat="1" ht="18" customHeight="1" x14ac:dyDescent="0.25">
      <c r="A40" s="121" t="s">
        <v>195</v>
      </c>
      <c r="B40" s="32" t="s">
        <v>8</v>
      </c>
      <c r="C40" s="32" t="s">
        <v>9</v>
      </c>
      <c r="D40" s="32"/>
      <c r="E40" s="32"/>
      <c r="F40" s="31"/>
      <c r="G40" s="37">
        <f>G24</f>
        <v>147977400</v>
      </c>
      <c r="H40" s="37">
        <f>H24</f>
        <v>152707349</v>
      </c>
      <c r="I40" s="37">
        <f>I24</f>
        <v>152707349</v>
      </c>
      <c r="J40" s="204">
        <f>I40/H40</f>
        <v>1</v>
      </c>
    </row>
    <row r="41" spans="1:10" s="2" customFormat="1" ht="21.6" customHeight="1" x14ac:dyDescent="0.25">
      <c r="A41" s="121" t="s">
        <v>196</v>
      </c>
      <c r="B41" s="126" t="s">
        <v>10</v>
      </c>
      <c r="C41" s="51"/>
      <c r="D41" s="51"/>
      <c r="E41" s="51"/>
      <c r="F41" s="51"/>
      <c r="G41" s="52">
        <f>SUM(G38:G40)</f>
        <v>150327500</v>
      </c>
      <c r="H41" s="52">
        <f>SUM(H38:H40)</f>
        <v>166556099</v>
      </c>
      <c r="I41" s="52">
        <f>SUM(I38:I40)</f>
        <v>166277557</v>
      </c>
      <c r="J41" s="205">
        <f>I41/H41</f>
        <v>0.99832763854537687</v>
      </c>
    </row>
    <row r="42" spans="1:10" s="2" customFormat="1" ht="18" customHeight="1" x14ac:dyDescent="0.25">
      <c r="A42" s="3"/>
      <c r="B42" s="1"/>
      <c r="C42" s="1"/>
      <c r="D42" s="1"/>
      <c r="E42" s="1"/>
      <c r="F42" s="1"/>
      <c r="G42" s="13"/>
      <c r="H42" s="58"/>
      <c r="I42" s="58"/>
      <c r="J42" s="195"/>
    </row>
    <row r="43" spans="1:10" s="2" customFormat="1" ht="18" customHeight="1" x14ac:dyDescent="0.25">
      <c r="A43" s="3"/>
      <c r="G43" s="13"/>
      <c r="H43" s="63"/>
      <c r="I43" s="63"/>
      <c r="J43" s="63"/>
    </row>
    <row r="44" spans="1:10" s="2" customFormat="1" ht="18" customHeight="1" x14ac:dyDescent="0.25">
      <c r="A44" s="3"/>
      <c r="G44" s="13"/>
      <c r="H44" s="64"/>
      <c r="I44" s="64"/>
      <c r="J44" s="64"/>
    </row>
    <row r="45" spans="1:10" s="2" customFormat="1" ht="18" customHeight="1" x14ac:dyDescent="0.25">
      <c r="A45" s="3"/>
      <c r="B45"/>
      <c r="C45"/>
      <c r="D45"/>
      <c r="E45"/>
      <c r="F45"/>
      <c r="G45" s="13"/>
      <c r="H45" s="97"/>
      <c r="I45" s="97"/>
      <c r="J45" s="97"/>
    </row>
    <row r="46" spans="1:10" s="2" customFormat="1" ht="18" customHeight="1" x14ac:dyDescent="0.25">
      <c r="A46" s="3"/>
      <c r="B46"/>
      <c r="C46"/>
      <c r="D46"/>
      <c r="E46"/>
      <c r="F46"/>
      <c r="G46" s="13"/>
      <c r="H46" s="13"/>
      <c r="I46" s="13"/>
      <c r="J46" s="13"/>
    </row>
    <row r="47" spans="1:10" s="2" customFormat="1" ht="18" customHeight="1" x14ac:dyDescent="0.25">
      <c r="A47" s="3"/>
      <c r="B47"/>
      <c r="C47"/>
      <c r="D47"/>
      <c r="E47"/>
      <c r="F47"/>
      <c r="G47" s="13"/>
      <c r="H47" s="13"/>
      <c r="I47" s="13"/>
      <c r="J47" s="13"/>
    </row>
    <row r="48" spans="1:10" s="2" customFormat="1" ht="18" customHeight="1" x14ac:dyDescent="0.25">
      <c r="A48" s="3"/>
      <c r="B48"/>
      <c r="C48"/>
      <c r="D48"/>
      <c r="E48"/>
      <c r="F48"/>
      <c r="G48" s="13"/>
      <c r="H48" s="13"/>
      <c r="I48" s="13"/>
      <c r="J48" s="13"/>
    </row>
    <row r="49" spans="1:10" s="2" customFormat="1" ht="18" customHeight="1" x14ac:dyDescent="0.25">
      <c r="A49" s="3"/>
      <c r="B49"/>
      <c r="C49"/>
      <c r="D49"/>
      <c r="E49"/>
      <c r="F49"/>
      <c r="G49" s="13"/>
      <c r="H49" s="13"/>
      <c r="I49" s="13"/>
      <c r="J49" s="13"/>
    </row>
    <row r="50" spans="1:10" s="32" customFormat="1" x14ac:dyDescent="0.25">
      <c r="A50" s="127"/>
      <c r="B50"/>
      <c r="C50"/>
      <c r="D50"/>
      <c r="E50"/>
      <c r="F50"/>
      <c r="G50" s="13"/>
      <c r="H50" s="13"/>
      <c r="I50" s="13"/>
      <c r="J50" s="13"/>
    </row>
    <row r="51" spans="1:10" s="1" customFormat="1" x14ac:dyDescent="0.25">
      <c r="A51" s="128"/>
      <c r="B51"/>
      <c r="C51"/>
      <c r="D51"/>
      <c r="E51"/>
      <c r="F51"/>
      <c r="G51" s="13"/>
      <c r="H51" s="13"/>
      <c r="I51" s="13"/>
      <c r="J51" s="13"/>
    </row>
    <row r="52" spans="1:10" s="2" customFormat="1" x14ac:dyDescent="0.25">
      <c r="A52" s="3"/>
      <c r="B52"/>
      <c r="C52"/>
      <c r="D52"/>
      <c r="E52"/>
      <c r="F52"/>
      <c r="G52" s="13"/>
      <c r="H52" s="13"/>
      <c r="I52" s="13"/>
      <c r="J52" s="13"/>
    </row>
    <row r="53" spans="1:10" s="2" customFormat="1" x14ac:dyDescent="0.25">
      <c r="A53" s="3"/>
      <c r="B53"/>
      <c r="C53"/>
      <c r="D53"/>
      <c r="E53"/>
      <c r="F53"/>
      <c r="G53" s="13"/>
      <c r="H53" s="13"/>
      <c r="I53" s="13"/>
      <c r="J53" s="13"/>
    </row>
  </sheetData>
  <sheetProtection selectLockedCells="1" selectUnlockedCells="1"/>
  <mergeCells count="9">
    <mergeCell ref="A1:J1"/>
    <mergeCell ref="A2:J2"/>
    <mergeCell ref="A3:J3"/>
    <mergeCell ref="D11:F11"/>
    <mergeCell ref="B23:F23"/>
    <mergeCell ref="B5:F6"/>
    <mergeCell ref="B7:F7"/>
    <mergeCell ref="B13:F13"/>
    <mergeCell ref="B19:F19"/>
  </mergeCells>
  <printOptions headings="1" gridLines="1"/>
  <pageMargins left="0.7" right="0.7" top="0.75" bottom="0.75" header="0.51180555555555551" footer="0.51180555555555551"/>
  <pageSetup paperSize="9" scale="56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view="pageBreakPreview" topLeftCell="A94" zoomScaleNormal="90" zoomScaleSheetLayoutView="100" workbookViewId="0">
      <selection activeCell="E105" sqref="E105"/>
    </sheetView>
  </sheetViews>
  <sheetFormatPr defaultColWidth="8.875" defaultRowHeight="15.75" x14ac:dyDescent="0.25"/>
  <cols>
    <col min="1" max="1" width="4.625" style="135" customWidth="1"/>
    <col min="2" max="2" width="3.75" customWidth="1"/>
    <col min="3" max="3" width="4.25" customWidth="1"/>
    <col min="4" max="4" width="6.125" customWidth="1"/>
    <col min="5" max="5" width="53.875" customWidth="1"/>
    <col min="6" max="6" width="8.625" style="2" customWidth="1"/>
    <col min="7" max="7" width="15.25" customWidth="1"/>
    <col min="8" max="8" width="15.375" style="2" customWidth="1"/>
    <col min="9" max="9" width="15.625" style="2" customWidth="1"/>
    <col min="10" max="10" width="15.75" style="2" customWidth="1"/>
    <col min="11" max="11" width="17.125" style="2" customWidth="1"/>
  </cols>
  <sheetData>
    <row r="1" spans="1:11" s="1" customFormat="1" x14ac:dyDescent="0.25">
      <c r="A1" s="134"/>
      <c r="B1" s="237"/>
      <c r="C1" s="237"/>
      <c r="D1" s="237"/>
      <c r="E1" s="237"/>
      <c r="F1" s="237"/>
      <c r="H1" s="2"/>
      <c r="I1" s="2"/>
      <c r="J1" s="2"/>
      <c r="K1" s="2"/>
    </row>
    <row r="2" spans="1:11" s="2" customFormat="1" x14ac:dyDescent="0.25">
      <c r="A2" s="242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149"/>
    </row>
    <row r="3" spans="1:11" s="2" customFormat="1" x14ac:dyDescent="0.25">
      <c r="A3" s="242" t="s">
        <v>127</v>
      </c>
      <c r="B3" s="264"/>
      <c r="C3" s="264"/>
      <c r="D3" s="264"/>
      <c r="E3" s="264"/>
      <c r="F3" s="264"/>
      <c r="G3" s="264"/>
      <c r="H3" s="264"/>
      <c r="I3" s="264"/>
      <c r="J3" s="264"/>
      <c r="K3" s="149"/>
    </row>
    <row r="4" spans="1:11" s="2" customFormat="1" x14ac:dyDescent="0.25">
      <c r="A4" s="210"/>
      <c r="B4" s="211"/>
      <c r="C4" s="211"/>
      <c r="D4" s="211"/>
      <c r="E4" s="211"/>
      <c r="F4" s="211"/>
      <c r="G4" s="211"/>
      <c r="H4" s="211"/>
      <c r="I4" s="211"/>
      <c r="J4" s="211"/>
      <c r="K4" s="149"/>
    </row>
    <row r="5" spans="1:11" s="4" customFormat="1" ht="25.9" customHeight="1" x14ac:dyDescent="0.25">
      <c r="A5" s="133" t="s">
        <v>174</v>
      </c>
      <c r="B5" s="146" t="s">
        <v>166</v>
      </c>
      <c r="C5" s="132" t="s">
        <v>167</v>
      </c>
      <c r="D5" s="132" t="s">
        <v>168</v>
      </c>
      <c r="E5" s="132" t="s">
        <v>169</v>
      </c>
      <c r="F5" s="132" t="s">
        <v>170</v>
      </c>
      <c r="G5" s="132" t="s">
        <v>197</v>
      </c>
      <c r="H5" s="132" t="s">
        <v>198</v>
      </c>
      <c r="I5" s="132" t="s">
        <v>273</v>
      </c>
      <c r="J5" s="132" t="s">
        <v>274</v>
      </c>
      <c r="K5" s="159"/>
    </row>
    <row r="6" spans="1:11" s="4" customFormat="1" ht="40.9" customHeight="1" x14ac:dyDescent="0.25">
      <c r="A6" s="132" t="s">
        <v>151</v>
      </c>
      <c r="B6" s="255" t="s">
        <v>46</v>
      </c>
      <c r="C6" s="256"/>
      <c r="D6" s="256"/>
      <c r="E6" s="256"/>
      <c r="F6" s="259" t="s">
        <v>119</v>
      </c>
      <c r="G6" s="131" t="s">
        <v>2</v>
      </c>
      <c r="H6" s="131" t="s">
        <v>2</v>
      </c>
      <c r="I6" s="156" t="s">
        <v>269</v>
      </c>
      <c r="J6" s="156" t="s">
        <v>270</v>
      </c>
      <c r="K6" s="160"/>
    </row>
    <row r="7" spans="1:11" s="4" customFormat="1" ht="30.6" customHeight="1" x14ac:dyDescent="0.25">
      <c r="A7" s="132" t="s">
        <v>152</v>
      </c>
      <c r="B7" s="257"/>
      <c r="C7" s="258"/>
      <c r="D7" s="258"/>
      <c r="E7" s="258"/>
      <c r="F7" s="260"/>
      <c r="G7" s="57" t="s">
        <v>112</v>
      </c>
      <c r="H7" s="57" t="s">
        <v>146</v>
      </c>
      <c r="I7" s="148" t="s">
        <v>275</v>
      </c>
      <c r="J7" s="148" t="s">
        <v>276</v>
      </c>
      <c r="K7" s="161"/>
    </row>
    <row r="8" spans="1:11" s="4" customFormat="1" ht="31.5" customHeight="1" x14ac:dyDescent="0.25">
      <c r="A8" s="132" t="s">
        <v>153</v>
      </c>
      <c r="B8" s="261" t="s">
        <v>23</v>
      </c>
      <c r="C8" s="261"/>
      <c r="D8" s="261"/>
      <c r="E8" s="261"/>
      <c r="F8" s="69">
        <v>23</v>
      </c>
      <c r="G8" s="68">
        <f>SUM(G9+G20+G23+G57)</f>
        <v>147827500.081</v>
      </c>
      <c r="H8" s="68">
        <f>SUM(H9+H20+H23+H57)</f>
        <v>153733827</v>
      </c>
      <c r="I8" s="68">
        <f>SUM(I9+I20+I23+I57)</f>
        <v>144871667</v>
      </c>
      <c r="J8" s="181">
        <f>I8/H8</f>
        <v>0.94235387114899571</v>
      </c>
      <c r="K8" s="162"/>
    </row>
    <row r="9" spans="1:11" s="4" customFormat="1" x14ac:dyDescent="0.25">
      <c r="A9" s="132" t="s">
        <v>154</v>
      </c>
      <c r="B9" s="38" t="s">
        <v>12</v>
      </c>
      <c r="C9" s="38" t="s">
        <v>13</v>
      </c>
      <c r="D9" s="38"/>
      <c r="E9" s="61"/>
      <c r="F9" s="39"/>
      <c r="G9" s="66">
        <f t="shared" ref="G9" si="0">SUM(G10)</f>
        <v>113800000</v>
      </c>
      <c r="H9" s="66">
        <f>SUM(H10)+H18</f>
        <v>117043894</v>
      </c>
      <c r="I9" s="66">
        <f>SUM(I10)+I18</f>
        <v>114181701</v>
      </c>
      <c r="J9" s="182">
        <f t="shared" ref="J9:J10" si="1">I9/H9</f>
        <v>0.97554598619215449</v>
      </c>
      <c r="K9" s="163"/>
    </row>
    <row r="10" spans="1:11" s="2" customFormat="1" x14ac:dyDescent="0.25">
      <c r="A10" s="132" t="s">
        <v>155</v>
      </c>
      <c r="B10" s="40"/>
      <c r="C10" s="40" t="s">
        <v>47</v>
      </c>
      <c r="D10" s="40"/>
      <c r="E10" s="60" t="s">
        <v>48</v>
      </c>
      <c r="F10" s="41"/>
      <c r="G10" s="18">
        <f>SUM(G11:G17)</f>
        <v>113800000</v>
      </c>
      <c r="H10" s="18">
        <f>SUM(H11:H17)</f>
        <v>116843894</v>
      </c>
      <c r="I10" s="18">
        <f>SUM(I11:I17)</f>
        <v>114163444</v>
      </c>
      <c r="J10" s="182">
        <f t="shared" si="1"/>
        <v>0.97705956290706986</v>
      </c>
      <c r="K10" s="164"/>
    </row>
    <row r="11" spans="1:11" s="2" customFormat="1" x14ac:dyDescent="0.25">
      <c r="A11" s="132" t="s">
        <v>156</v>
      </c>
      <c r="B11" s="40"/>
      <c r="C11" s="40"/>
      <c r="D11" s="40" t="s">
        <v>49</v>
      </c>
      <c r="E11" s="60" t="s">
        <v>50</v>
      </c>
      <c r="F11" s="41"/>
      <c r="G11" s="30">
        <v>99500000</v>
      </c>
      <c r="H11" s="30">
        <v>99500000</v>
      </c>
      <c r="I11" s="30">
        <v>97474178</v>
      </c>
      <c r="J11" s="182">
        <f>I11/H11</f>
        <v>0.97963997989949747</v>
      </c>
      <c r="K11" s="164"/>
    </row>
    <row r="12" spans="1:11" s="2" customFormat="1" x14ac:dyDescent="0.25">
      <c r="A12" s="132" t="s">
        <v>157</v>
      </c>
      <c r="B12" s="40"/>
      <c r="C12" s="40"/>
      <c r="D12" s="40" t="s">
        <v>108</v>
      </c>
      <c r="E12" s="60"/>
      <c r="F12" s="41"/>
      <c r="G12" s="30">
        <v>5000000</v>
      </c>
      <c r="H12" s="30">
        <v>5912406</v>
      </c>
      <c r="I12" s="30">
        <v>5912406</v>
      </c>
      <c r="J12" s="182">
        <f t="shared" ref="J12:J60" si="2">I12/H12</f>
        <v>1</v>
      </c>
      <c r="K12" s="164"/>
    </row>
    <row r="13" spans="1:11" s="2" customFormat="1" x14ac:dyDescent="0.25">
      <c r="A13" s="132" t="s">
        <v>158</v>
      </c>
      <c r="B13" s="40"/>
      <c r="C13" s="40"/>
      <c r="D13" s="40" t="s">
        <v>144</v>
      </c>
      <c r="E13" s="72" t="s">
        <v>145</v>
      </c>
      <c r="F13" s="41"/>
      <c r="G13" s="30">
        <v>0</v>
      </c>
      <c r="H13" s="30">
        <v>475372</v>
      </c>
      <c r="I13" s="30">
        <v>174000</v>
      </c>
      <c r="J13" s="182">
        <f t="shared" si="2"/>
        <v>0.36602913087013961</v>
      </c>
      <c r="K13" s="164"/>
    </row>
    <row r="14" spans="1:11" s="2" customFormat="1" x14ac:dyDescent="0.25">
      <c r="A14" s="132" t="s">
        <v>159</v>
      </c>
      <c r="B14" s="40"/>
      <c r="C14" s="40"/>
      <c r="D14" s="40" t="s">
        <v>106</v>
      </c>
      <c r="E14" s="73" t="s">
        <v>107</v>
      </c>
      <c r="F14" s="41"/>
      <c r="G14" s="29">
        <v>0</v>
      </c>
      <c r="H14" s="30">
        <v>149946</v>
      </c>
      <c r="I14" s="30">
        <v>149946</v>
      </c>
      <c r="J14" s="182">
        <f t="shared" si="2"/>
        <v>1</v>
      </c>
      <c r="K14" s="164"/>
    </row>
    <row r="15" spans="1:11" s="2" customFormat="1" ht="17.45" customHeight="1" x14ac:dyDescent="0.25">
      <c r="A15" s="132" t="s">
        <v>160</v>
      </c>
      <c r="B15" s="40"/>
      <c r="C15" s="40"/>
      <c r="D15" s="40" t="s">
        <v>51</v>
      </c>
      <c r="E15" s="60" t="s">
        <v>52</v>
      </c>
      <c r="F15" s="41"/>
      <c r="G15" s="18">
        <v>6900000</v>
      </c>
      <c r="H15" s="18">
        <v>6900000</v>
      </c>
      <c r="I15" s="18">
        <v>6852328</v>
      </c>
      <c r="J15" s="182">
        <f t="shared" si="2"/>
        <v>0.99309101449275361</v>
      </c>
      <c r="K15" s="164"/>
    </row>
    <row r="16" spans="1:11" s="2" customFormat="1" x14ac:dyDescent="0.25">
      <c r="A16" s="132" t="s">
        <v>161</v>
      </c>
      <c r="B16" s="40"/>
      <c r="C16" s="40"/>
      <c r="D16" s="40" t="s">
        <v>53</v>
      </c>
      <c r="E16" s="60" t="s">
        <v>54</v>
      </c>
      <c r="F16" s="41"/>
      <c r="G16" s="30">
        <v>1250000</v>
      </c>
      <c r="H16" s="30">
        <v>1250000</v>
      </c>
      <c r="I16" s="30">
        <v>1226478</v>
      </c>
      <c r="J16" s="182">
        <f t="shared" si="2"/>
        <v>0.98118240000000001</v>
      </c>
      <c r="K16" s="164"/>
    </row>
    <row r="17" spans="1:11" s="2" customFormat="1" x14ac:dyDescent="0.25">
      <c r="A17" s="132" t="s">
        <v>162</v>
      </c>
      <c r="B17" s="40"/>
      <c r="C17" s="40"/>
      <c r="D17" s="40" t="s">
        <v>55</v>
      </c>
      <c r="E17" s="60" t="s">
        <v>56</v>
      </c>
      <c r="F17" s="41"/>
      <c r="G17" s="29">
        <f>750000+400000</f>
        <v>1150000</v>
      </c>
      <c r="H17" s="29">
        <f>759000+900000+997170</f>
        <v>2656170</v>
      </c>
      <c r="I17" s="29">
        <v>2374108</v>
      </c>
      <c r="J17" s="182">
        <f t="shared" si="2"/>
        <v>0.89380875471073007</v>
      </c>
      <c r="K17" s="165"/>
    </row>
    <row r="18" spans="1:11" s="2" customFormat="1" x14ac:dyDescent="0.25">
      <c r="A18" s="132" t="s">
        <v>163</v>
      </c>
      <c r="B18" s="144"/>
      <c r="C18" s="22" t="s">
        <v>132</v>
      </c>
      <c r="D18" s="22"/>
      <c r="E18" s="145" t="s">
        <v>133</v>
      </c>
      <c r="F18" s="41"/>
      <c r="G18" s="29">
        <v>0</v>
      </c>
      <c r="H18" s="29">
        <f>H19</f>
        <v>200000</v>
      </c>
      <c r="I18" s="29">
        <f>I19</f>
        <v>18257</v>
      </c>
      <c r="J18" s="182">
        <f t="shared" si="2"/>
        <v>9.1285000000000005E-2</v>
      </c>
      <c r="K18" s="165"/>
    </row>
    <row r="19" spans="1:11" s="2" customFormat="1" x14ac:dyDescent="0.25">
      <c r="A19" s="132" t="s">
        <v>164</v>
      </c>
      <c r="B19" s="22"/>
      <c r="C19" s="22"/>
      <c r="D19" s="22" t="s">
        <v>136</v>
      </c>
      <c r="E19" s="112" t="s">
        <v>147</v>
      </c>
      <c r="F19" s="113"/>
      <c r="G19" s="114">
        <v>0</v>
      </c>
      <c r="H19" s="114">
        <v>200000</v>
      </c>
      <c r="I19" s="114">
        <v>18257</v>
      </c>
      <c r="J19" s="182">
        <f t="shared" si="2"/>
        <v>9.1285000000000005E-2</v>
      </c>
      <c r="K19" s="164"/>
    </row>
    <row r="20" spans="1:11" s="4" customFormat="1" ht="18" customHeight="1" x14ac:dyDescent="0.25">
      <c r="A20" s="132" t="s">
        <v>165</v>
      </c>
      <c r="B20" s="38" t="s">
        <v>14</v>
      </c>
      <c r="C20" s="38" t="s">
        <v>15</v>
      </c>
      <c r="E20" s="24"/>
      <c r="F20" s="24"/>
      <c r="G20" s="66">
        <f t="shared" ref="G20" si="3">SUM(G21:G22)</f>
        <v>15666500</v>
      </c>
      <c r="H20" s="66">
        <f t="shared" ref="H20:I20" si="4">SUM(H21:H22)</f>
        <v>16039383</v>
      </c>
      <c r="I20" s="66">
        <f t="shared" si="4"/>
        <v>16039383</v>
      </c>
      <c r="J20" s="182">
        <f t="shared" si="2"/>
        <v>1</v>
      </c>
      <c r="K20" s="163"/>
    </row>
    <row r="21" spans="1:11" s="2" customFormat="1" x14ac:dyDescent="0.25">
      <c r="A21" s="132" t="s">
        <v>175</v>
      </c>
      <c r="B21" s="40"/>
      <c r="C21" s="40"/>
      <c r="D21" s="2" t="s">
        <v>57</v>
      </c>
      <c r="E21" s="42"/>
      <c r="F21" s="42"/>
      <c r="G21" s="30">
        <f>(G11+G12+G13+G15+G17)*0.13</f>
        <v>14631500</v>
      </c>
      <c r="H21" s="109">
        <v>15004383</v>
      </c>
      <c r="I21" s="109">
        <v>15006632</v>
      </c>
      <c r="J21" s="182">
        <f t="shared" si="2"/>
        <v>1.0001498895356111</v>
      </c>
      <c r="K21" s="166"/>
    </row>
    <row r="22" spans="1:11" s="2" customFormat="1" x14ac:dyDescent="0.25">
      <c r="A22" s="132" t="s">
        <v>176</v>
      </c>
      <c r="B22" s="40"/>
      <c r="C22" s="40"/>
      <c r="D22" s="2" t="s">
        <v>58</v>
      </c>
      <c r="E22" s="42"/>
      <c r="F22" s="42"/>
      <c r="G22" s="30">
        <v>1035000</v>
      </c>
      <c r="H22" s="109">
        <v>1035000</v>
      </c>
      <c r="I22" s="109">
        <v>1032751</v>
      </c>
      <c r="J22" s="182">
        <f t="shared" si="2"/>
        <v>0.99782705314009656</v>
      </c>
      <c r="K22" s="166"/>
    </row>
    <row r="23" spans="1:11" s="4" customFormat="1" x14ac:dyDescent="0.25">
      <c r="A23" s="132" t="s">
        <v>177</v>
      </c>
      <c r="B23" s="38" t="s">
        <v>16</v>
      </c>
      <c r="C23" s="38" t="s">
        <v>17</v>
      </c>
      <c r="D23" s="38"/>
      <c r="E23" s="61"/>
      <c r="F23" s="39"/>
      <c r="G23" s="66">
        <f>SUM(G24+G31+G37+G52+G54)</f>
        <v>18211000</v>
      </c>
      <c r="H23" s="66">
        <f>SUM(H24+H31+H37+H52+H54)</f>
        <v>20434550</v>
      </c>
      <c r="I23" s="66">
        <f>SUM(I24+I31+I37+I52+I54)</f>
        <v>14475673</v>
      </c>
      <c r="J23" s="182">
        <f t="shared" si="2"/>
        <v>0.70839206148410416</v>
      </c>
      <c r="K23" s="163"/>
    </row>
    <row r="24" spans="1:11" s="2" customFormat="1" x14ac:dyDescent="0.25">
      <c r="A24" s="132" t="s">
        <v>178</v>
      </c>
      <c r="B24" s="40"/>
      <c r="C24" s="40" t="s">
        <v>59</v>
      </c>
      <c r="D24" s="40"/>
      <c r="E24" s="60" t="s">
        <v>60</v>
      </c>
      <c r="F24" s="41"/>
      <c r="G24" s="18">
        <f t="shared" ref="G24" si="5">SUM(G25+G27)</f>
        <v>2450000</v>
      </c>
      <c r="H24" s="18">
        <f t="shared" ref="H24:I24" si="6">SUM(H25+H27)</f>
        <v>2760704</v>
      </c>
      <c r="I24" s="18">
        <f t="shared" si="6"/>
        <v>1778702</v>
      </c>
      <c r="J24" s="182">
        <f t="shared" si="2"/>
        <v>0.6442929049981454</v>
      </c>
      <c r="K24" s="164"/>
    </row>
    <row r="25" spans="1:11" s="2" customFormat="1" x14ac:dyDescent="0.25">
      <c r="A25" s="132" t="s">
        <v>179</v>
      </c>
      <c r="B25" s="40"/>
      <c r="C25" s="40"/>
      <c r="D25" s="2" t="s">
        <v>61</v>
      </c>
      <c r="E25" s="60" t="s">
        <v>62</v>
      </c>
      <c r="F25" s="43"/>
      <c r="G25" s="18">
        <f>G26</f>
        <v>400000</v>
      </c>
      <c r="H25" s="18">
        <f>H26</f>
        <v>400000</v>
      </c>
      <c r="I25" s="18">
        <v>78108</v>
      </c>
      <c r="J25" s="182">
        <f t="shared" si="2"/>
        <v>0.19527</v>
      </c>
      <c r="K25" s="164"/>
    </row>
    <row r="26" spans="1:11" s="2" customFormat="1" x14ac:dyDescent="0.25">
      <c r="A26" s="132" t="s">
        <v>180</v>
      </c>
      <c r="B26" s="40"/>
      <c r="C26" s="40"/>
      <c r="E26" s="60" t="s">
        <v>63</v>
      </c>
      <c r="F26" s="43"/>
      <c r="G26" s="30">
        <v>400000</v>
      </c>
      <c r="H26" s="30">
        <v>400000</v>
      </c>
      <c r="I26" s="30"/>
      <c r="J26" s="182">
        <f t="shared" si="2"/>
        <v>0</v>
      </c>
      <c r="K26" s="164"/>
    </row>
    <row r="27" spans="1:11" s="2" customFormat="1" x14ac:dyDescent="0.25">
      <c r="A27" s="132" t="s">
        <v>181</v>
      </c>
      <c r="B27" s="40"/>
      <c r="C27" s="40"/>
      <c r="D27" s="2" t="s">
        <v>64</v>
      </c>
      <c r="E27" s="60" t="s">
        <v>65</v>
      </c>
      <c r="F27" s="43"/>
      <c r="G27" s="18">
        <f t="shared" ref="G27" si="7">SUM(G28:G30)</f>
        <v>2050000</v>
      </c>
      <c r="H27" s="18">
        <f>SUM(H28:H30)</f>
        <v>2360704</v>
      </c>
      <c r="I27" s="18">
        <v>1700594</v>
      </c>
      <c r="J27" s="182">
        <f t="shared" si="2"/>
        <v>0.72037578620614873</v>
      </c>
      <c r="K27" s="164"/>
    </row>
    <row r="28" spans="1:11" s="2" customFormat="1" x14ac:dyDescent="0.25">
      <c r="A28" s="132" t="s">
        <v>182</v>
      </c>
      <c r="B28" s="40"/>
      <c r="C28" s="40"/>
      <c r="E28" s="60" t="s">
        <v>66</v>
      </c>
      <c r="F28" s="43"/>
      <c r="G28" s="30">
        <v>1500000</v>
      </c>
      <c r="H28" s="30">
        <v>1860704</v>
      </c>
      <c r="I28" s="30"/>
      <c r="J28" s="182">
        <f t="shared" si="2"/>
        <v>0</v>
      </c>
      <c r="K28" s="164"/>
    </row>
    <row r="29" spans="1:11" s="2" customFormat="1" x14ac:dyDescent="0.25">
      <c r="A29" s="132" t="s">
        <v>183</v>
      </c>
      <c r="B29" s="40"/>
      <c r="C29" s="40"/>
      <c r="E29" s="60" t="s">
        <v>67</v>
      </c>
      <c r="F29" s="43"/>
      <c r="G29" s="30">
        <v>300000</v>
      </c>
      <c r="H29" s="30">
        <v>300000</v>
      </c>
      <c r="I29" s="30"/>
      <c r="J29" s="182">
        <f t="shared" si="2"/>
        <v>0</v>
      </c>
      <c r="K29" s="164"/>
    </row>
    <row r="30" spans="1:11" s="2" customFormat="1" x14ac:dyDescent="0.25">
      <c r="A30" s="132" t="s">
        <v>184</v>
      </c>
      <c r="B30" s="40"/>
      <c r="C30" s="40"/>
      <c r="E30" s="60" t="s">
        <v>68</v>
      </c>
      <c r="F30" s="43"/>
      <c r="G30" s="30">
        <v>250000</v>
      </c>
      <c r="H30" s="30">
        <v>200000</v>
      </c>
      <c r="I30" s="30"/>
      <c r="J30" s="182">
        <f t="shared" si="2"/>
        <v>0</v>
      </c>
      <c r="K30" s="164"/>
    </row>
    <row r="31" spans="1:11" s="2" customFormat="1" x14ac:dyDescent="0.25">
      <c r="A31" s="132" t="s">
        <v>185</v>
      </c>
      <c r="B31" s="40"/>
      <c r="C31" s="40" t="s">
        <v>69</v>
      </c>
      <c r="D31" s="44"/>
      <c r="E31" s="60" t="s">
        <v>70</v>
      </c>
      <c r="F31" s="45"/>
      <c r="G31" s="18">
        <f t="shared" ref="G31" si="8">SUM(G32+G36)</f>
        <v>1500000</v>
      </c>
      <c r="H31" s="18">
        <f t="shared" ref="H31:I31" si="9">SUM(H32+H36)</f>
        <v>1744500</v>
      </c>
      <c r="I31" s="18">
        <f t="shared" si="9"/>
        <v>1590752</v>
      </c>
      <c r="J31" s="182">
        <f t="shared" si="2"/>
        <v>0.91186701060475783</v>
      </c>
      <c r="K31" s="164"/>
    </row>
    <row r="32" spans="1:11" s="2" customFormat="1" x14ac:dyDescent="0.25">
      <c r="A32" s="132" t="s">
        <v>186</v>
      </c>
      <c r="B32" s="40"/>
      <c r="C32" s="40"/>
      <c r="D32" s="40" t="s">
        <v>71</v>
      </c>
      <c r="E32" s="60" t="s">
        <v>72</v>
      </c>
      <c r="F32" s="41"/>
      <c r="G32" s="18">
        <f t="shared" ref="G32" si="10">SUM(G33:G35)</f>
        <v>1400000</v>
      </c>
      <c r="H32" s="18">
        <f>SUM(H33:H35)</f>
        <v>1644500</v>
      </c>
      <c r="I32" s="18">
        <v>1500523</v>
      </c>
      <c r="J32" s="182">
        <f t="shared" si="2"/>
        <v>0.91244937671024628</v>
      </c>
      <c r="K32" s="164"/>
    </row>
    <row r="33" spans="1:11" s="2" customFormat="1" x14ac:dyDescent="0.25">
      <c r="A33" s="132" t="s">
        <v>187</v>
      </c>
      <c r="B33" s="40"/>
      <c r="C33" s="40"/>
      <c r="D33" s="40"/>
      <c r="E33" s="60" t="s">
        <v>73</v>
      </c>
      <c r="F33" s="41"/>
      <c r="G33" s="30">
        <v>50000</v>
      </c>
      <c r="H33" s="30">
        <v>60000</v>
      </c>
      <c r="I33" s="30"/>
      <c r="J33" s="182">
        <f t="shared" si="2"/>
        <v>0</v>
      </c>
      <c r="K33" s="164"/>
    </row>
    <row r="34" spans="1:11" s="2" customFormat="1" x14ac:dyDescent="0.25">
      <c r="A34" s="132" t="s">
        <v>188</v>
      </c>
      <c r="B34" s="40"/>
      <c r="C34" s="40"/>
      <c r="D34" s="40"/>
      <c r="E34" s="60" t="s">
        <v>74</v>
      </c>
      <c r="F34" s="41"/>
      <c r="G34" s="29">
        <f>1300000</f>
        <v>1300000</v>
      </c>
      <c r="H34" s="29">
        <v>1534500</v>
      </c>
      <c r="I34" s="29"/>
      <c r="J34" s="182">
        <f t="shared" si="2"/>
        <v>0</v>
      </c>
      <c r="K34" s="165"/>
    </row>
    <row r="35" spans="1:11" s="2" customFormat="1" x14ac:dyDescent="0.25">
      <c r="A35" s="132" t="s">
        <v>189</v>
      </c>
      <c r="B35" s="40"/>
      <c r="C35" s="40"/>
      <c r="D35" s="40"/>
      <c r="E35" s="60" t="s">
        <v>75</v>
      </c>
      <c r="F35" s="41"/>
      <c r="G35" s="30">
        <v>50000</v>
      </c>
      <c r="H35" s="30">
        <v>50000</v>
      </c>
      <c r="I35" s="30"/>
      <c r="J35" s="182">
        <f t="shared" si="2"/>
        <v>0</v>
      </c>
      <c r="K35" s="164"/>
    </row>
    <row r="36" spans="1:11" s="2" customFormat="1" x14ac:dyDescent="0.25">
      <c r="A36" s="132" t="s">
        <v>190</v>
      </c>
      <c r="B36" s="40"/>
      <c r="C36" s="40"/>
      <c r="D36" s="40" t="s">
        <v>76</v>
      </c>
      <c r="E36" s="60" t="s">
        <v>77</v>
      </c>
      <c r="F36" s="45"/>
      <c r="G36" s="30">
        <v>100000</v>
      </c>
      <c r="H36" s="30">
        <v>100000</v>
      </c>
      <c r="I36" s="30">
        <v>90229</v>
      </c>
      <c r="J36" s="182">
        <f t="shared" si="2"/>
        <v>0.90229000000000004</v>
      </c>
      <c r="K36" s="164"/>
    </row>
    <row r="37" spans="1:11" s="2" customFormat="1" x14ac:dyDescent="0.25">
      <c r="A37" s="132" t="s">
        <v>191</v>
      </c>
      <c r="B37" s="40"/>
      <c r="C37" s="40" t="s">
        <v>78</v>
      </c>
      <c r="D37" s="44"/>
      <c r="E37" s="60" t="s">
        <v>79</v>
      </c>
      <c r="F37" s="45"/>
      <c r="G37" s="18">
        <f>SUM(G38+G39+G40+G41)</f>
        <v>11960000</v>
      </c>
      <c r="H37" s="18">
        <f>SUM(H38+H39+H40+H41)</f>
        <v>13628346</v>
      </c>
      <c r="I37" s="18">
        <f>SUM(I38+I39+I40+I41)</f>
        <v>9767018</v>
      </c>
      <c r="J37" s="182">
        <f t="shared" si="2"/>
        <v>0.71666935958332723</v>
      </c>
      <c r="K37" s="164"/>
    </row>
    <row r="38" spans="1:11" s="2" customFormat="1" ht="16.149999999999999" customHeight="1" x14ac:dyDescent="0.25">
      <c r="A38" s="132" t="s">
        <v>192</v>
      </c>
      <c r="B38" s="40"/>
      <c r="C38" s="40"/>
      <c r="D38" s="2" t="s">
        <v>80</v>
      </c>
      <c r="E38" s="60" t="s">
        <v>81</v>
      </c>
      <c r="F38" s="43"/>
      <c r="G38" s="18">
        <v>300000</v>
      </c>
      <c r="H38" s="18">
        <v>300000</v>
      </c>
      <c r="I38" s="18">
        <v>113716</v>
      </c>
      <c r="J38" s="182">
        <f t="shared" si="2"/>
        <v>0.37905333333333335</v>
      </c>
      <c r="K38" s="164"/>
    </row>
    <row r="39" spans="1:11" s="2" customFormat="1" x14ac:dyDescent="0.25">
      <c r="A39" s="132" t="s">
        <v>193</v>
      </c>
      <c r="B39" s="40"/>
      <c r="C39" s="40"/>
      <c r="D39" s="2" t="s">
        <v>82</v>
      </c>
      <c r="E39" s="60" t="s">
        <v>83</v>
      </c>
      <c r="F39" s="43"/>
      <c r="G39" s="18">
        <v>300000</v>
      </c>
      <c r="H39" s="18">
        <v>100000</v>
      </c>
      <c r="I39" s="18">
        <v>0</v>
      </c>
      <c r="J39" s="182">
        <f t="shared" si="2"/>
        <v>0</v>
      </c>
      <c r="K39" s="164"/>
    </row>
    <row r="40" spans="1:11" s="2" customFormat="1" x14ac:dyDescent="0.25">
      <c r="A40" s="132" t="s">
        <v>194</v>
      </c>
      <c r="B40" s="40"/>
      <c r="C40" s="40"/>
      <c r="D40" s="2" t="s">
        <v>84</v>
      </c>
      <c r="E40" s="60" t="s">
        <v>85</v>
      </c>
      <c r="F40" s="43"/>
      <c r="G40" s="18">
        <v>1800000</v>
      </c>
      <c r="H40" s="18">
        <v>1800000</v>
      </c>
      <c r="I40" s="18">
        <v>1600000</v>
      </c>
      <c r="J40" s="182">
        <f t="shared" si="2"/>
        <v>0.88888888888888884</v>
      </c>
      <c r="K40" s="164"/>
    </row>
    <row r="41" spans="1:11" s="2" customFormat="1" x14ac:dyDescent="0.25">
      <c r="A41" s="132" t="s">
        <v>195</v>
      </c>
      <c r="B41" s="40"/>
      <c r="C41" s="40"/>
      <c r="D41" s="2" t="s">
        <v>86</v>
      </c>
      <c r="E41" s="60" t="s">
        <v>87</v>
      </c>
      <c r="F41" s="43"/>
      <c r="G41" s="18">
        <f>SUM(G42:G51)</f>
        <v>9560000</v>
      </c>
      <c r="H41" s="18">
        <f>SUM(H42:H51)</f>
        <v>11428346</v>
      </c>
      <c r="I41" s="18">
        <v>8053302</v>
      </c>
      <c r="J41" s="182">
        <f t="shared" si="2"/>
        <v>0.70467782477009355</v>
      </c>
      <c r="K41" s="164"/>
    </row>
    <row r="42" spans="1:11" s="2" customFormat="1" x14ac:dyDescent="0.25">
      <c r="A42" s="132" t="s">
        <v>196</v>
      </c>
      <c r="B42" s="40"/>
      <c r="C42" s="40"/>
      <c r="E42" s="60" t="s">
        <v>104</v>
      </c>
      <c r="F42" s="43"/>
      <c r="G42" s="18">
        <v>600000</v>
      </c>
      <c r="H42" s="18">
        <v>600000</v>
      </c>
      <c r="I42" s="18"/>
      <c r="J42" s="182">
        <f t="shared" si="2"/>
        <v>0</v>
      </c>
      <c r="K42" s="164"/>
    </row>
    <row r="43" spans="1:11" s="2" customFormat="1" x14ac:dyDescent="0.25">
      <c r="A43" s="132" t="s">
        <v>199</v>
      </c>
      <c r="B43" s="40"/>
      <c r="C43" s="40"/>
      <c r="E43" s="60" t="s">
        <v>111</v>
      </c>
      <c r="F43" s="43"/>
      <c r="G43" s="18">
        <v>4500000</v>
      </c>
      <c r="H43" s="18">
        <v>6000000</v>
      </c>
      <c r="I43" s="18"/>
      <c r="J43" s="182">
        <f t="shared" si="2"/>
        <v>0</v>
      </c>
      <c r="K43" s="164"/>
    </row>
    <row r="44" spans="1:11" s="2" customFormat="1" x14ac:dyDescent="0.25">
      <c r="A44" s="132" t="s">
        <v>200</v>
      </c>
      <c r="B44" s="40"/>
      <c r="C44" s="40"/>
      <c r="E44" s="60" t="s">
        <v>109</v>
      </c>
      <c r="F44" s="43"/>
      <c r="G44" s="18">
        <v>500000</v>
      </c>
      <c r="H44" s="18">
        <v>500000</v>
      </c>
      <c r="I44" s="18"/>
      <c r="J44" s="182">
        <f t="shared" si="2"/>
        <v>0</v>
      </c>
      <c r="K44" s="164"/>
    </row>
    <row r="45" spans="1:11" s="2" customFormat="1" x14ac:dyDescent="0.25">
      <c r="A45" s="132" t="s">
        <v>201</v>
      </c>
      <c r="B45" s="40"/>
      <c r="C45" s="40"/>
      <c r="E45" s="60" t="s">
        <v>110</v>
      </c>
      <c r="F45" s="43"/>
      <c r="G45" s="18">
        <v>1500000</v>
      </c>
      <c r="H45" s="18">
        <f>1405500+412846</f>
        <v>1818346</v>
      </c>
      <c r="I45" s="18"/>
      <c r="J45" s="182">
        <f t="shared" si="2"/>
        <v>0</v>
      </c>
      <c r="K45" s="164"/>
    </row>
    <row r="46" spans="1:11" s="2" customFormat="1" x14ac:dyDescent="0.25">
      <c r="A46" s="132" t="s">
        <v>202</v>
      </c>
      <c r="B46" s="40"/>
      <c r="C46" s="40"/>
      <c r="E46" s="60" t="s">
        <v>105</v>
      </c>
      <c r="F46" s="43"/>
      <c r="G46" s="18">
        <f>85000*4</f>
        <v>340000</v>
      </c>
      <c r="H46" s="18">
        <f>85000*4</f>
        <v>340000</v>
      </c>
      <c r="I46" s="18"/>
      <c r="J46" s="182">
        <f t="shared" si="2"/>
        <v>0</v>
      </c>
      <c r="K46" s="164"/>
    </row>
    <row r="47" spans="1:11" s="2" customFormat="1" x14ac:dyDescent="0.25">
      <c r="A47" s="132" t="s">
        <v>203</v>
      </c>
      <c r="B47" s="40"/>
      <c r="C47" s="40"/>
      <c r="E47" s="60" t="s">
        <v>113</v>
      </c>
      <c r="F47" s="43"/>
      <c r="G47" s="18">
        <f>100000*4</f>
        <v>400000</v>
      </c>
      <c r="H47" s="18">
        <f>100000*4</f>
        <v>400000</v>
      </c>
      <c r="I47" s="18"/>
      <c r="J47" s="182">
        <f t="shared" si="2"/>
        <v>0</v>
      </c>
      <c r="K47" s="164"/>
    </row>
    <row r="48" spans="1:11" s="2" customFormat="1" x14ac:dyDescent="0.25">
      <c r="A48" s="132" t="s">
        <v>204</v>
      </c>
      <c r="B48" s="40"/>
      <c r="C48" s="40"/>
      <c r="E48" s="56" t="s">
        <v>115</v>
      </c>
      <c r="F48" s="43"/>
      <c r="G48" s="18">
        <v>200000</v>
      </c>
      <c r="H48" s="18">
        <v>250000</v>
      </c>
      <c r="I48" s="18"/>
      <c r="J48" s="182">
        <f t="shared" si="2"/>
        <v>0</v>
      </c>
      <c r="K48" s="164"/>
    </row>
    <row r="49" spans="1:11" s="2" customFormat="1" x14ac:dyDescent="0.25">
      <c r="A49" s="132" t="s">
        <v>205</v>
      </c>
      <c r="B49" s="40"/>
      <c r="C49" s="40"/>
      <c r="E49" s="56" t="s">
        <v>116</v>
      </c>
      <c r="F49" s="43"/>
      <c r="G49" s="18">
        <v>800000</v>
      </c>
      <c r="H49" s="18">
        <v>800000</v>
      </c>
      <c r="I49" s="18"/>
      <c r="J49" s="182">
        <f t="shared" si="2"/>
        <v>0</v>
      </c>
      <c r="K49" s="164"/>
    </row>
    <row r="50" spans="1:11" s="2" customFormat="1" x14ac:dyDescent="0.25">
      <c r="A50" s="132" t="s">
        <v>206</v>
      </c>
      <c r="B50" s="40"/>
      <c r="C50" s="40"/>
      <c r="E50" s="56" t="s">
        <v>117</v>
      </c>
      <c r="F50" s="43"/>
      <c r="G50" s="18">
        <v>220000</v>
      </c>
      <c r="H50" s="18">
        <v>220000</v>
      </c>
      <c r="I50" s="18"/>
      <c r="J50" s="182">
        <f t="shared" si="2"/>
        <v>0</v>
      </c>
      <c r="K50" s="164"/>
    </row>
    <row r="51" spans="1:11" s="2" customFormat="1" x14ac:dyDescent="0.25">
      <c r="A51" s="132" t="s">
        <v>207</v>
      </c>
      <c r="B51" s="40"/>
      <c r="C51" s="40"/>
      <c r="E51" s="56" t="s">
        <v>118</v>
      </c>
      <c r="F51" s="43"/>
      <c r="G51" s="18">
        <v>500000</v>
      </c>
      <c r="H51" s="18">
        <v>500000</v>
      </c>
      <c r="I51" s="18"/>
      <c r="J51" s="182">
        <f t="shared" si="2"/>
        <v>0</v>
      </c>
      <c r="K51" s="164"/>
    </row>
    <row r="52" spans="1:11" s="2" customFormat="1" x14ac:dyDescent="0.25">
      <c r="A52" s="132" t="s">
        <v>208</v>
      </c>
      <c r="B52" s="40"/>
      <c r="C52" s="40" t="s">
        <v>88</v>
      </c>
      <c r="E52" s="60" t="s">
        <v>89</v>
      </c>
      <c r="F52" s="43"/>
      <c r="G52" s="18">
        <f t="shared" ref="G52" si="11">SUM(G53)</f>
        <v>700000</v>
      </c>
      <c r="H52" s="18">
        <f t="shared" ref="H52" si="12">SUM(H53)</f>
        <v>700000</v>
      </c>
      <c r="I52" s="18">
        <f>I53</f>
        <v>315221</v>
      </c>
      <c r="J52" s="182">
        <f t="shared" si="2"/>
        <v>0.45031571428571426</v>
      </c>
      <c r="K52" s="164"/>
    </row>
    <row r="53" spans="1:11" s="2" customFormat="1" x14ac:dyDescent="0.25">
      <c r="A53" s="132" t="s">
        <v>209</v>
      </c>
      <c r="B53" s="40"/>
      <c r="C53" s="40"/>
      <c r="D53" s="2" t="s">
        <v>90</v>
      </c>
      <c r="E53" s="60" t="s">
        <v>91</v>
      </c>
      <c r="F53" s="43"/>
      <c r="G53" s="18">
        <v>700000</v>
      </c>
      <c r="H53" s="18">
        <v>700000</v>
      </c>
      <c r="I53" s="18">
        <v>315221</v>
      </c>
      <c r="J53" s="182">
        <f t="shared" si="2"/>
        <v>0.45031571428571426</v>
      </c>
      <c r="K53" s="164"/>
    </row>
    <row r="54" spans="1:11" s="2" customFormat="1" x14ac:dyDescent="0.25">
      <c r="A54" s="132" t="s">
        <v>210</v>
      </c>
      <c r="B54" s="40"/>
      <c r="C54" s="40" t="s">
        <v>92</v>
      </c>
      <c r="E54" s="60" t="s">
        <v>93</v>
      </c>
      <c r="F54" s="43"/>
      <c r="G54" s="18">
        <f t="shared" ref="G54" si="13">SUM(G55:G56)</f>
        <v>1601000</v>
      </c>
      <c r="H54" s="18">
        <f>SUM(H55:H56)</f>
        <v>1601000</v>
      </c>
      <c r="I54" s="18">
        <f>SUM(I55:I56)</f>
        <v>1023980</v>
      </c>
      <c r="J54" s="182">
        <f t="shared" si="2"/>
        <v>0.6395877576514678</v>
      </c>
      <c r="K54" s="164"/>
    </row>
    <row r="55" spans="1:11" s="2" customFormat="1" x14ac:dyDescent="0.25">
      <c r="A55" s="132" t="s">
        <v>211</v>
      </c>
      <c r="B55" s="40"/>
      <c r="C55" s="40"/>
      <c r="D55" s="2" t="s">
        <v>94</v>
      </c>
      <c r="E55" s="60" t="s">
        <v>95</v>
      </c>
      <c r="F55" s="43"/>
      <c r="G55" s="18">
        <v>1600000</v>
      </c>
      <c r="H55" s="18">
        <v>1600000</v>
      </c>
      <c r="I55" s="18">
        <v>1023976</v>
      </c>
      <c r="J55" s="182">
        <f t="shared" si="2"/>
        <v>0.63998500000000003</v>
      </c>
      <c r="K55" s="164"/>
    </row>
    <row r="56" spans="1:11" s="2" customFormat="1" x14ac:dyDescent="0.25">
      <c r="A56" s="132" t="s">
        <v>212</v>
      </c>
      <c r="B56" s="40"/>
      <c r="C56" s="40"/>
      <c r="D56" s="2" t="s">
        <v>96</v>
      </c>
      <c r="E56" s="60" t="s">
        <v>97</v>
      </c>
      <c r="F56" s="43"/>
      <c r="G56" s="18">
        <v>1000</v>
      </c>
      <c r="H56" s="18">
        <v>1000</v>
      </c>
      <c r="I56" s="18">
        <v>4</v>
      </c>
      <c r="J56" s="182">
        <f t="shared" si="2"/>
        <v>4.0000000000000001E-3</v>
      </c>
      <c r="K56" s="164"/>
    </row>
    <row r="57" spans="1:11" s="2" customFormat="1" x14ac:dyDescent="0.25">
      <c r="A57" s="132" t="s">
        <v>213</v>
      </c>
      <c r="B57" s="4" t="s">
        <v>120</v>
      </c>
      <c r="C57" s="4" t="s">
        <v>121</v>
      </c>
      <c r="D57" s="4"/>
      <c r="E57" s="4"/>
      <c r="F57" s="4"/>
      <c r="G57" s="65">
        <f>SUM(G59:G60)</f>
        <v>150000.08100000001</v>
      </c>
      <c r="H57" s="65">
        <f>SUM(H58:H60)</f>
        <v>216000</v>
      </c>
      <c r="I57" s="65">
        <f>SUM(I58:I60)</f>
        <v>174910</v>
      </c>
      <c r="J57" s="182">
        <f t="shared" si="2"/>
        <v>0.8097685185185185</v>
      </c>
      <c r="K57" s="167"/>
    </row>
    <row r="58" spans="1:11" s="2" customFormat="1" x14ac:dyDescent="0.25">
      <c r="A58" s="132" t="s">
        <v>214</v>
      </c>
      <c r="C58" s="2" t="s">
        <v>148</v>
      </c>
      <c r="E58" s="2" t="s">
        <v>149</v>
      </c>
      <c r="G58" s="115">
        <v>0</v>
      </c>
      <c r="H58" s="116">
        <v>120000</v>
      </c>
      <c r="I58" s="116">
        <v>102354</v>
      </c>
      <c r="J58" s="182">
        <f t="shared" si="2"/>
        <v>0.85294999999999999</v>
      </c>
      <c r="K58" s="168"/>
    </row>
    <row r="59" spans="1:11" s="2" customFormat="1" x14ac:dyDescent="0.25">
      <c r="A59" s="132" t="s">
        <v>215</v>
      </c>
      <c r="B59" s="4"/>
      <c r="C59" s="40" t="s">
        <v>122</v>
      </c>
      <c r="D59" s="4"/>
      <c r="E59" s="40" t="s">
        <v>123</v>
      </c>
      <c r="F59" s="4"/>
      <c r="G59" s="70">
        <f>118110.3</f>
        <v>118110.3</v>
      </c>
      <c r="H59" s="116">
        <v>50000</v>
      </c>
      <c r="I59" s="116">
        <v>35370</v>
      </c>
      <c r="J59" s="182">
        <f t="shared" si="2"/>
        <v>0.70740000000000003</v>
      </c>
      <c r="K59" s="168"/>
    </row>
    <row r="60" spans="1:11" s="2" customFormat="1" x14ac:dyDescent="0.25">
      <c r="A60" s="132" t="s">
        <v>216</v>
      </c>
      <c r="B60" s="4"/>
      <c r="C60" s="40" t="s">
        <v>124</v>
      </c>
      <c r="D60" s="4"/>
      <c r="E60" s="40" t="s">
        <v>125</v>
      </c>
      <c r="F60" s="4"/>
      <c r="G60" s="71">
        <f>G59*0.27</f>
        <v>31889.781000000003</v>
      </c>
      <c r="H60" s="117">
        <v>46000</v>
      </c>
      <c r="I60" s="117">
        <v>37186</v>
      </c>
      <c r="J60" s="182">
        <f t="shared" si="2"/>
        <v>0.80839130434782613</v>
      </c>
      <c r="K60" s="169"/>
    </row>
    <row r="61" spans="1:11" s="2" customFormat="1" ht="26.45" customHeight="1" x14ac:dyDescent="0.25">
      <c r="A61" s="132" t="s">
        <v>217</v>
      </c>
      <c r="B61" s="262" t="s">
        <v>31</v>
      </c>
      <c r="C61" s="263"/>
      <c r="D61" s="263"/>
      <c r="E61" s="263"/>
      <c r="F61" s="263"/>
      <c r="G61" s="67">
        <f t="shared" ref="G61" si="14">G62</f>
        <v>2500000</v>
      </c>
      <c r="H61" s="67">
        <f>H62</f>
        <v>2500000</v>
      </c>
      <c r="I61" s="67">
        <f>I62</f>
        <v>1531715</v>
      </c>
      <c r="J61" s="183">
        <f>H61/I61</f>
        <v>1.632157418318682</v>
      </c>
      <c r="K61" s="162"/>
    </row>
    <row r="62" spans="1:11" s="2" customFormat="1" x14ac:dyDescent="0.25">
      <c r="A62" s="132" t="s">
        <v>218</v>
      </c>
      <c r="B62" s="38" t="s">
        <v>18</v>
      </c>
      <c r="C62" s="254" t="s">
        <v>19</v>
      </c>
      <c r="D62" s="254"/>
      <c r="E62" s="254"/>
      <c r="F62" s="43"/>
      <c r="G62" s="18">
        <f t="shared" ref="G62" si="15">SUM(G63)</f>
        <v>2500000</v>
      </c>
      <c r="H62" s="18">
        <f t="shared" ref="H62:I62" si="16">SUM(H63)</f>
        <v>2500000</v>
      </c>
      <c r="I62" s="18">
        <f t="shared" si="16"/>
        <v>1531715</v>
      </c>
      <c r="J62" s="184">
        <f>I62/H62</f>
        <v>0.61268599999999995</v>
      </c>
      <c r="K62" s="164"/>
    </row>
    <row r="63" spans="1:11" s="2" customFormat="1" x14ac:dyDescent="0.25">
      <c r="A63" s="132" t="s">
        <v>219</v>
      </c>
      <c r="B63" s="40"/>
      <c r="C63" s="40"/>
      <c r="D63" s="2" t="s">
        <v>98</v>
      </c>
      <c r="E63" s="60" t="s">
        <v>99</v>
      </c>
      <c r="F63" s="43"/>
      <c r="G63" s="18">
        <f>G64</f>
        <v>2500000</v>
      </c>
      <c r="H63" s="18">
        <f>H64</f>
        <v>2500000</v>
      </c>
      <c r="I63" s="18">
        <f>I64</f>
        <v>1531715</v>
      </c>
      <c r="J63" s="184">
        <f t="shared" ref="J63:J64" si="17">I63/H63</f>
        <v>0.61268599999999995</v>
      </c>
      <c r="K63" s="164"/>
    </row>
    <row r="64" spans="1:11" s="2" customFormat="1" x14ac:dyDescent="0.25">
      <c r="A64" s="132" t="s">
        <v>220</v>
      </c>
      <c r="B64" s="40"/>
      <c r="C64" s="40"/>
      <c r="E64" s="56" t="s">
        <v>114</v>
      </c>
      <c r="F64" s="43"/>
      <c r="G64" s="18">
        <v>2500000</v>
      </c>
      <c r="H64" s="18">
        <v>2500000</v>
      </c>
      <c r="I64" s="18">
        <v>1531715</v>
      </c>
      <c r="J64" s="184">
        <f t="shared" si="17"/>
        <v>0.61268599999999995</v>
      </c>
      <c r="K64" s="164"/>
    </row>
    <row r="65" spans="1:11" ht="40.35" customHeight="1" x14ac:dyDescent="0.25">
      <c r="A65" s="132" t="s">
        <v>221</v>
      </c>
      <c r="B65" s="252" t="s">
        <v>131</v>
      </c>
      <c r="C65" s="253"/>
      <c r="D65" s="253"/>
      <c r="E65" s="253"/>
      <c r="F65" s="122"/>
      <c r="G65" s="123">
        <f>G66+G71+G74+G86</f>
        <v>0</v>
      </c>
      <c r="H65" s="124">
        <f>H66+H71+H74+H86</f>
        <v>5595982</v>
      </c>
      <c r="I65" s="124">
        <f>I66+I71+I74+I86</f>
        <v>5595982</v>
      </c>
      <c r="J65" s="185">
        <f>I65/H65</f>
        <v>1</v>
      </c>
      <c r="K65" s="170"/>
    </row>
    <row r="66" spans="1:11" x14ac:dyDescent="0.25">
      <c r="A66" s="132" t="s">
        <v>222</v>
      </c>
      <c r="B66" s="136" t="s">
        <v>12</v>
      </c>
      <c r="C66" s="74" t="s">
        <v>13</v>
      </c>
      <c r="D66" s="75"/>
      <c r="E66" s="74"/>
      <c r="F66" s="76"/>
      <c r="G66" s="77">
        <f>G67</f>
        <v>0</v>
      </c>
      <c r="H66" s="77">
        <f>H67</f>
        <v>4077361</v>
      </c>
      <c r="I66" s="77">
        <f>I67</f>
        <v>4077361</v>
      </c>
      <c r="J66" s="186">
        <f>I66/H66</f>
        <v>1</v>
      </c>
      <c r="K66" s="26"/>
    </row>
    <row r="67" spans="1:11" x14ac:dyDescent="0.25">
      <c r="A67" s="132" t="s">
        <v>223</v>
      </c>
      <c r="B67" s="137"/>
      <c r="C67" s="78" t="s">
        <v>132</v>
      </c>
      <c r="D67" s="78"/>
      <c r="E67" s="78" t="s">
        <v>133</v>
      </c>
      <c r="F67" s="79"/>
      <c r="G67" s="80">
        <f>SUM(G68:G70)</f>
        <v>0</v>
      </c>
      <c r="H67" s="80">
        <f>SUM(H68:H70)</f>
        <v>4077361</v>
      </c>
      <c r="I67" s="80">
        <f>SUM(I68:I70)</f>
        <v>4077361</v>
      </c>
      <c r="J67" s="186">
        <f t="shared" ref="J67:J88" si="18">I67/H67</f>
        <v>1</v>
      </c>
      <c r="K67" s="171"/>
    </row>
    <row r="68" spans="1:11" x14ac:dyDescent="0.25">
      <c r="A68" s="132" t="s">
        <v>224</v>
      </c>
      <c r="B68" s="137"/>
      <c r="C68" s="78"/>
      <c r="D68" s="78" t="s">
        <v>134</v>
      </c>
      <c r="E68" s="78" t="s">
        <v>135</v>
      </c>
      <c r="F68" s="79"/>
      <c r="G68" s="81">
        <v>0</v>
      </c>
      <c r="H68" s="81">
        <f>480000+500000+700000</f>
        <v>1680000</v>
      </c>
      <c r="I68" s="81">
        <f>480000+500000+700000</f>
        <v>1680000</v>
      </c>
      <c r="J68" s="186">
        <f t="shared" si="18"/>
        <v>1</v>
      </c>
      <c r="K68" s="164"/>
    </row>
    <row r="69" spans="1:11" x14ac:dyDescent="0.25">
      <c r="A69" s="132" t="s">
        <v>225</v>
      </c>
      <c r="B69" s="137"/>
      <c r="C69" s="78"/>
      <c r="D69" s="78" t="s">
        <v>136</v>
      </c>
      <c r="E69" s="78" t="s">
        <v>137</v>
      </c>
      <c r="F69" s="79"/>
      <c r="G69" s="81">
        <v>0</v>
      </c>
      <c r="H69" s="81">
        <f>8*5*50000</f>
        <v>2000000</v>
      </c>
      <c r="I69" s="81">
        <f>8*5*50000</f>
        <v>2000000</v>
      </c>
      <c r="J69" s="186">
        <f t="shared" si="18"/>
        <v>1</v>
      </c>
      <c r="K69" s="164"/>
    </row>
    <row r="70" spans="1:11" x14ac:dyDescent="0.25">
      <c r="A70" s="132" t="s">
        <v>226</v>
      </c>
      <c r="B70" s="137"/>
      <c r="C70" s="78"/>
      <c r="D70" s="78" t="s">
        <v>136</v>
      </c>
      <c r="E70" s="78" t="s">
        <v>138</v>
      </c>
      <c r="F70" s="79"/>
      <c r="G70" s="81">
        <v>0</v>
      </c>
      <c r="H70" s="81">
        <v>397361</v>
      </c>
      <c r="I70" s="81">
        <v>397361</v>
      </c>
      <c r="J70" s="186">
        <f t="shared" si="18"/>
        <v>1</v>
      </c>
      <c r="K70" s="164"/>
    </row>
    <row r="71" spans="1:11" x14ac:dyDescent="0.25">
      <c r="A71" s="132" t="s">
        <v>227</v>
      </c>
      <c r="B71" s="136" t="s">
        <v>14</v>
      </c>
      <c r="C71" s="74" t="s">
        <v>15</v>
      </c>
      <c r="D71" s="82"/>
      <c r="E71" s="82"/>
      <c r="F71" s="82"/>
      <c r="G71" s="77">
        <f>SUM(G72:G73)</f>
        <v>0</v>
      </c>
      <c r="H71" s="77">
        <f>SUM(H72:H73)</f>
        <v>622996</v>
      </c>
      <c r="I71" s="77">
        <f>SUM(I72:I73)</f>
        <v>622996</v>
      </c>
      <c r="J71" s="186">
        <f t="shared" si="18"/>
        <v>1</v>
      </c>
      <c r="K71" s="26"/>
    </row>
    <row r="72" spans="1:11" x14ac:dyDescent="0.25">
      <c r="A72" s="132" t="s">
        <v>228</v>
      </c>
      <c r="B72" s="137"/>
      <c r="C72" s="78"/>
      <c r="D72" s="83" t="s">
        <v>57</v>
      </c>
      <c r="E72" s="83"/>
      <c r="F72" s="83"/>
      <c r="G72" s="81">
        <v>0</v>
      </c>
      <c r="H72" s="81">
        <v>533833</v>
      </c>
      <c r="I72" s="81">
        <v>533833</v>
      </c>
      <c r="J72" s="186">
        <f t="shared" si="18"/>
        <v>1</v>
      </c>
      <c r="K72" s="164"/>
    </row>
    <row r="73" spans="1:11" x14ac:dyDescent="0.25">
      <c r="A73" s="132" t="s">
        <v>229</v>
      </c>
      <c r="B73" s="137"/>
      <c r="C73" s="78"/>
      <c r="D73" s="83" t="s">
        <v>139</v>
      </c>
      <c r="E73" s="83"/>
      <c r="F73" s="83"/>
      <c r="G73" s="81">
        <v>0</v>
      </c>
      <c r="H73" s="81">
        <v>89163</v>
      </c>
      <c r="I73" s="81">
        <v>89163</v>
      </c>
      <c r="J73" s="186">
        <f t="shared" si="18"/>
        <v>1</v>
      </c>
      <c r="K73" s="164"/>
    </row>
    <row r="74" spans="1:11" x14ac:dyDescent="0.25">
      <c r="A74" s="132" t="s">
        <v>230</v>
      </c>
      <c r="B74" s="136" t="s">
        <v>16</v>
      </c>
      <c r="C74" s="74" t="s">
        <v>17</v>
      </c>
      <c r="D74" s="74"/>
      <c r="E74" s="74"/>
      <c r="F74" s="76"/>
      <c r="G74" s="77">
        <f>G75+G78+G81+G83</f>
        <v>0</v>
      </c>
      <c r="H74" s="77">
        <f>H75+H78+H81+H83</f>
        <v>407310</v>
      </c>
      <c r="I74" s="77">
        <f>I75+I78+I81+I83</f>
        <v>407310</v>
      </c>
      <c r="J74" s="186">
        <f t="shared" si="18"/>
        <v>1</v>
      </c>
      <c r="K74" s="26"/>
    </row>
    <row r="75" spans="1:11" x14ac:dyDescent="0.25">
      <c r="A75" s="132" t="s">
        <v>231</v>
      </c>
      <c r="B75" s="137"/>
      <c r="C75" s="78" t="s">
        <v>59</v>
      </c>
      <c r="D75" s="78"/>
      <c r="E75" s="78" t="s">
        <v>60</v>
      </c>
      <c r="F75" s="79"/>
      <c r="G75" s="81">
        <f t="shared" ref="G75:I76" si="19">G76</f>
        <v>0</v>
      </c>
      <c r="H75" s="81">
        <f t="shared" si="19"/>
        <v>125970</v>
      </c>
      <c r="I75" s="81">
        <f t="shared" si="19"/>
        <v>125970</v>
      </c>
      <c r="J75" s="186">
        <f t="shared" si="18"/>
        <v>1</v>
      </c>
      <c r="K75" s="164"/>
    </row>
    <row r="76" spans="1:11" x14ac:dyDescent="0.25">
      <c r="A76" s="132" t="s">
        <v>232</v>
      </c>
      <c r="B76" s="137"/>
      <c r="C76" s="78"/>
      <c r="D76" s="83" t="s">
        <v>64</v>
      </c>
      <c r="E76" s="78" t="s">
        <v>65</v>
      </c>
      <c r="F76" s="84"/>
      <c r="G76" s="81">
        <f t="shared" si="19"/>
        <v>0</v>
      </c>
      <c r="H76" s="81">
        <f t="shared" si="19"/>
        <v>125970</v>
      </c>
      <c r="I76" s="81">
        <f t="shared" si="19"/>
        <v>125970</v>
      </c>
      <c r="J76" s="186">
        <f t="shared" si="18"/>
        <v>1</v>
      </c>
      <c r="K76" s="164"/>
    </row>
    <row r="77" spans="1:11" x14ac:dyDescent="0.25">
      <c r="A77" s="132" t="s">
        <v>233</v>
      </c>
      <c r="B77" s="137"/>
      <c r="C77" s="78"/>
      <c r="D77" s="83"/>
      <c r="E77" s="78" t="s">
        <v>140</v>
      </c>
      <c r="F77" s="84"/>
      <c r="G77" s="81">
        <v>0</v>
      </c>
      <c r="H77" s="81">
        <v>125970</v>
      </c>
      <c r="I77" s="81">
        <v>125970</v>
      </c>
      <c r="J77" s="186">
        <f t="shared" si="18"/>
        <v>1</v>
      </c>
      <c r="K77" s="164"/>
    </row>
    <row r="78" spans="1:11" x14ac:dyDescent="0.25">
      <c r="A78" s="132" t="s">
        <v>234</v>
      </c>
      <c r="B78" s="137"/>
      <c r="C78" s="78" t="s">
        <v>78</v>
      </c>
      <c r="D78" s="85"/>
      <c r="E78" s="78" t="s">
        <v>79</v>
      </c>
      <c r="F78" s="86"/>
      <c r="G78" s="81">
        <f>G79+G80</f>
        <v>0</v>
      </c>
      <c r="H78" s="81">
        <f>H79+H80</f>
        <v>59266</v>
      </c>
      <c r="I78" s="81">
        <f>I79+I80</f>
        <v>59266</v>
      </c>
      <c r="J78" s="186">
        <f t="shared" si="18"/>
        <v>1</v>
      </c>
      <c r="K78" s="164"/>
    </row>
    <row r="79" spans="1:11" x14ac:dyDescent="0.25">
      <c r="A79" s="132" t="s">
        <v>235</v>
      </c>
      <c r="B79" s="137"/>
      <c r="C79" s="78"/>
      <c r="D79" s="83" t="s">
        <v>80</v>
      </c>
      <c r="E79" s="78" t="s">
        <v>81</v>
      </c>
      <c r="F79" s="84"/>
      <c r="G79" s="81">
        <v>0</v>
      </c>
      <c r="H79" s="81">
        <v>27466</v>
      </c>
      <c r="I79" s="81">
        <v>27466</v>
      </c>
      <c r="J79" s="186">
        <f t="shared" si="18"/>
        <v>1</v>
      </c>
      <c r="K79" s="164"/>
    </row>
    <row r="80" spans="1:11" x14ac:dyDescent="0.25">
      <c r="A80" s="132" t="s">
        <v>236</v>
      </c>
      <c r="B80" s="137"/>
      <c r="C80" s="78"/>
      <c r="D80" s="83" t="s">
        <v>86</v>
      </c>
      <c r="E80" s="78" t="s">
        <v>87</v>
      </c>
      <c r="F80" s="84"/>
      <c r="G80" s="81">
        <v>0</v>
      </c>
      <c r="H80" s="81">
        <v>31800</v>
      </c>
      <c r="I80" s="81">
        <v>31800</v>
      </c>
      <c r="J80" s="186">
        <f t="shared" si="18"/>
        <v>1</v>
      </c>
      <c r="K80" s="164"/>
    </row>
    <row r="81" spans="1:11" x14ac:dyDescent="0.25">
      <c r="A81" s="132" t="s">
        <v>237</v>
      </c>
      <c r="B81" s="137"/>
      <c r="C81" s="78" t="s">
        <v>88</v>
      </c>
      <c r="D81" s="83"/>
      <c r="E81" s="78" t="s">
        <v>89</v>
      </c>
      <c r="F81" s="84"/>
      <c r="G81" s="81">
        <f>G82</f>
        <v>0</v>
      </c>
      <c r="H81" s="81">
        <f>H82</f>
        <v>0</v>
      </c>
      <c r="I81" s="81">
        <f>I82</f>
        <v>0</v>
      </c>
      <c r="J81" s="186" t="e">
        <f t="shared" si="18"/>
        <v>#DIV/0!</v>
      </c>
      <c r="K81" s="164"/>
    </row>
    <row r="82" spans="1:11" x14ac:dyDescent="0.25">
      <c r="A82" s="132" t="s">
        <v>238</v>
      </c>
      <c r="B82" s="137"/>
      <c r="C82" s="78"/>
      <c r="D82" s="83" t="s">
        <v>90</v>
      </c>
      <c r="E82" s="78" t="s">
        <v>91</v>
      </c>
      <c r="F82" s="84"/>
      <c r="G82" s="81">
        <v>0</v>
      </c>
      <c r="H82" s="81">
        <v>0</v>
      </c>
      <c r="I82" s="81">
        <v>0</v>
      </c>
      <c r="J82" s="186" t="e">
        <f t="shared" si="18"/>
        <v>#DIV/0!</v>
      </c>
      <c r="K82" s="164"/>
    </row>
    <row r="83" spans="1:11" x14ac:dyDescent="0.25">
      <c r="A83" s="132" t="s">
        <v>239</v>
      </c>
      <c r="B83" s="137"/>
      <c r="C83" s="78" t="s">
        <v>92</v>
      </c>
      <c r="D83" s="83"/>
      <c r="E83" s="78" t="s">
        <v>93</v>
      </c>
      <c r="F83" s="84"/>
      <c r="G83" s="81">
        <f>G84</f>
        <v>0</v>
      </c>
      <c r="H83" s="81">
        <f>H84+H85</f>
        <v>222074</v>
      </c>
      <c r="I83" s="81">
        <f>I84+I85</f>
        <v>222074</v>
      </c>
      <c r="J83" s="186">
        <f>I83/H83</f>
        <v>1</v>
      </c>
      <c r="K83" s="164"/>
    </row>
    <row r="84" spans="1:11" x14ac:dyDescent="0.25">
      <c r="A84" s="132" t="s">
        <v>240</v>
      </c>
      <c r="B84" s="137"/>
      <c r="C84" s="78"/>
      <c r="D84" s="83" t="s">
        <v>94</v>
      </c>
      <c r="E84" s="78" t="s">
        <v>95</v>
      </c>
      <c r="F84" s="84"/>
      <c r="G84" s="81">
        <v>0</v>
      </c>
      <c r="H84" s="81">
        <v>147819</v>
      </c>
      <c r="I84" s="81">
        <v>147819</v>
      </c>
      <c r="J84" s="186">
        <f t="shared" si="18"/>
        <v>1</v>
      </c>
      <c r="K84" s="164"/>
    </row>
    <row r="85" spans="1:11" x14ac:dyDescent="0.25">
      <c r="A85" s="132" t="s">
        <v>241</v>
      </c>
      <c r="B85" s="137"/>
      <c r="C85" s="78"/>
      <c r="D85" s="83" t="s">
        <v>96</v>
      </c>
      <c r="E85" s="78" t="s">
        <v>172</v>
      </c>
      <c r="F85" s="84"/>
      <c r="G85" s="81">
        <v>0</v>
      </c>
      <c r="H85" s="81">
        <v>74255</v>
      </c>
      <c r="I85" s="81">
        <v>74255</v>
      </c>
      <c r="J85" s="186">
        <f t="shared" si="18"/>
        <v>1</v>
      </c>
      <c r="K85" s="164"/>
    </row>
    <row r="86" spans="1:11" x14ac:dyDescent="0.25">
      <c r="A86" s="132" t="s">
        <v>242</v>
      </c>
      <c r="B86" s="138" t="s">
        <v>120</v>
      </c>
      <c r="C86" s="82" t="s">
        <v>121</v>
      </c>
      <c r="D86" s="82"/>
      <c r="E86" s="82"/>
      <c r="F86" s="82"/>
      <c r="G86" s="87">
        <f>SUM(G87:G88)</f>
        <v>0</v>
      </c>
      <c r="H86" s="87">
        <f>SUM(H87:H88)</f>
        <v>488315</v>
      </c>
      <c r="I86" s="87">
        <f>SUM(I87:I88)</f>
        <v>488315</v>
      </c>
      <c r="J86" s="186">
        <f t="shared" si="18"/>
        <v>1</v>
      </c>
      <c r="K86" s="167"/>
    </row>
    <row r="87" spans="1:11" x14ac:dyDescent="0.25">
      <c r="A87" s="132" t="s">
        <v>243</v>
      </c>
      <c r="B87" s="138"/>
      <c r="C87" s="78" t="s">
        <v>122</v>
      </c>
      <c r="D87" s="82"/>
      <c r="E87" s="78" t="s">
        <v>141</v>
      </c>
      <c r="F87" s="82"/>
      <c r="G87" s="88">
        <v>0</v>
      </c>
      <c r="H87" s="88">
        <v>384500</v>
      </c>
      <c r="I87" s="88">
        <v>384500</v>
      </c>
      <c r="J87" s="186">
        <f t="shared" si="18"/>
        <v>1</v>
      </c>
      <c r="K87" s="172"/>
    </row>
    <row r="88" spans="1:11" x14ac:dyDescent="0.25">
      <c r="A88" s="132" t="s">
        <v>244</v>
      </c>
      <c r="B88" s="139"/>
      <c r="C88" s="90" t="s">
        <v>124</v>
      </c>
      <c r="D88" s="89"/>
      <c r="E88" s="90" t="s">
        <v>125</v>
      </c>
      <c r="F88" s="89"/>
      <c r="G88" s="91">
        <v>0</v>
      </c>
      <c r="H88" s="91">
        <v>103815</v>
      </c>
      <c r="I88" s="91">
        <v>103815</v>
      </c>
      <c r="J88" s="186">
        <f t="shared" si="18"/>
        <v>1</v>
      </c>
      <c r="K88" s="172"/>
    </row>
    <row r="89" spans="1:11" ht="40.35" customHeight="1" x14ac:dyDescent="0.25">
      <c r="A89" s="132" t="s">
        <v>245</v>
      </c>
      <c r="B89" s="252" t="s">
        <v>171</v>
      </c>
      <c r="C89" s="253"/>
      <c r="D89" s="253"/>
      <c r="E89" s="253"/>
      <c r="F89" s="122"/>
      <c r="G89" s="124">
        <f>G90+G94+G96</f>
        <v>0</v>
      </c>
      <c r="H89" s="124">
        <f>H90+H94+H96</f>
        <v>4726290</v>
      </c>
      <c r="I89" s="124">
        <f>I90+I94+I96</f>
        <v>2804106</v>
      </c>
      <c r="J89" s="185">
        <f>I89/H89</f>
        <v>0.59329960709139729</v>
      </c>
      <c r="K89" s="170"/>
    </row>
    <row r="90" spans="1:11" x14ac:dyDescent="0.25">
      <c r="A90" s="132" t="s">
        <v>246</v>
      </c>
      <c r="B90" s="136" t="s">
        <v>12</v>
      </c>
      <c r="C90" s="74" t="s">
        <v>13</v>
      </c>
      <c r="D90" s="75"/>
      <c r="E90" s="74"/>
      <c r="F90" s="76"/>
      <c r="G90" s="77">
        <f>G91</f>
        <v>0</v>
      </c>
      <c r="H90" s="77">
        <f>H91</f>
        <v>4070566</v>
      </c>
      <c r="I90" s="77">
        <f>I91</f>
        <v>2604106</v>
      </c>
      <c r="J90" s="186">
        <f>I90/H90</f>
        <v>0.63974051765774098</v>
      </c>
      <c r="K90" s="26"/>
    </row>
    <row r="91" spans="1:11" x14ac:dyDescent="0.25">
      <c r="A91" s="132" t="s">
        <v>247</v>
      </c>
      <c r="B91" s="137"/>
      <c r="C91" s="78" t="s">
        <v>132</v>
      </c>
      <c r="D91" s="78"/>
      <c r="E91" s="78" t="s">
        <v>133</v>
      </c>
      <c r="F91" s="79"/>
      <c r="G91" s="80">
        <f>SUM(G92:G93)</f>
        <v>0</v>
      </c>
      <c r="H91" s="80">
        <f>SUM(H92:H93)</f>
        <v>4070566</v>
      </c>
      <c r="I91" s="80">
        <f>SUM(I92:I93)</f>
        <v>2604106</v>
      </c>
      <c r="J91" s="186">
        <f t="shared" ref="J91:J104" si="20">I91/H91</f>
        <v>0.63974051765774098</v>
      </c>
      <c r="K91" s="171"/>
    </row>
    <row r="92" spans="1:11" x14ac:dyDescent="0.25">
      <c r="A92" s="132" t="s">
        <v>248</v>
      </c>
      <c r="B92" s="137"/>
      <c r="C92" s="78"/>
      <c r="D92" s="78" t="s">
        <v>134</v>
      </c>
      <c r="E92" s="78" t="s">
        <v>135</v>
      </c>
      <c r="F92" s="79"/>
      <c r="G92" s="81">
        <v>0</v>
      </c>
      <c r="H92" s="81">
        <v>1701549</v>
      </c>
      <c r="I92" s="81">
        <v>1222331</v>
      </c>
      <c r="J92" s="186">
        <f t="shared" si="20"/>
        <v>0.71836367921229416</v>
      </c>
      <c r="K92" s="164"/>
    </row>
    <row r="93" spans="1:11" x14ac:dyDescent="0.25">
      <c r="A93" s="132" t="s">
        <v>249</v>
      </c>
      <c r="B93" s="137"/>
      <c r="C93" s="78"/>
      <c r="D93" s="78" t="s">
        <v>136</v>
      </c>
      <c r="E93" s="78" t="s">
        <v>137</v>
      </c>
      <c r="F93" s="79"/>
      <c r="G93" s="81">
        <v>0</v>
      </c>
      <c r="H93" s="81">
        <v>2369017</v>
      </c>
      <c r="I93" s="81">
        <v>1381775</v>
      </c>
      <c r="J93" s="186">
        <f t="shared" si="20"/>
        <v>0.58326934758171844</v>
      </c>
      <c r="K93" s="164"/>
    </row>
    <row r="94" spans="1:11" x14ac:dyDescent="0.25">
      <c r="A94" s="132" t="s">
        <v>250</v>
      </c>
      <c r="B94" s="136" t="s">
        <v>14</v>
      </c>
      <c r="C94" s="74" t="s">
        <v>15</v>
      </c>
      <c r="D94" s="82"/>
      <c r="E94" s="82"/>
      <c r="F94" s="82"/>
      <c r="G94" s="77">
        <f>SUM(G95:G95)</f>
        <v>0</v>
      </c>
      <c r="H94" s="77">
        <f>SUM(H95:H95)</f>
        <v>455724</v>
      </c>
      <c r="I94" s="77">
        <v>0</v>
      </c>
      <c r="J94" s="186">
        <f t="shared" si="20"/>
        <v>0</v>
      </c>
      <c r="K94" s="26"/>
    </row>
    <row r="95" spans="1:11" x14ac:dyDescent="0.25">
      <c r="A95" s="132" t="s">
        <v>251</v>
      </c>
      <c r="B95" s="137"/>
      <c r="C95" s="78"/>
      <c r="D95" s="83" t="s">
        <v>57</v>
      </c>
      <c r="E95" s="83"/>
      <c r="F95" s="83"/>
      <c r="G95" s="81">
        <v>0</v>
      </c>
      <c r="H95" s="81">
        <v>455724</v>
      </c>
      <c r="I95" s="81">
        <v>0</v>
      </c>
      <c r="J95" s="186">
        <f t="shared" si="20"/>
        <v>0</v>
      </c>
      <c r="K95" s="164"/>
    </row>
    <row r="96" spans="1:11" x14ac:dyDescent="0.25">
      <c r="A96" s="132" t="s">
        <v>252</v>
      </c>
      <c r="B96" s="136" t="s">
        <v>16</v>
      </c>
      <c r="C96" s="74" t="s">
        <v>17</v>
      </c>
      <c r="D96" s="74"/>
      <c r="E96" s="74"/>
      <c r="F96" s="76"/>
      <c r="G96" s="77">
        <f>G97+G100+G103</f>
        <v>0</v>
      </c>
      <c r="H96" s="77">
        <f>H97+H100+H103</f>
        <v>200000</v>
      </c>
      <c r="I96" s="77">
        <f>I97+I100+I103</f>
        <v>200000</v>
      </c>
      <c r="J96" s="186">
        <f t="shared" si="20"/>
        <v>1</v>
      </c>
      <c r="K96" s="26"/>
    </row>
    <row r="97" spans="1:11" x14ac:dyDescent="0.25">
      <c r="A97" s="132" t="s">
        <v>253</v>
      </c>
      <c r="B97" s="137"/>
      <c r="C97" s="78" t="s">
        <v>59</v>
      </c>
      <c r="D97" s="78"/>
      <c r="E97" s="78" t="s">
        <v>60</v>
      </c>
      <c r="F97" s="79"/>
      <c r="G97" s="81">
        <f t="shared" ref="G97:I98" si="21">G98</f>
        <v>0</v>
      </c>
      <c r="H97" s="81">
        <f t="shared" si="21"/>
        <v>157480</v>
      </c>
      <c r="I97" s="81">
        <f t="shared" si="21"/>
        <v>157480</v>
      </c>
      <c r="J97" s="186">
        <f t="shared" si="20"/>
        <v>1</v>
      </c>
      <c r="K97" s="164"/>
    </row>
    <row r="98" spans="1:11" x14ac:dyDescent="0.25">
      <c r="A98" s="132" t="s">
        <v>254</v>
      </c>
      <c r="B98" s="137"/>
      <c r="C98" s="78"/>
      <c r="D98" s="83" t="s">
        <v>64</v>
      </c>
      <c r="E98" s="78" t="s">
        <v>65</v>
      </c>
      <c r="F98" s="84"/>
      <c r="G98" s="81">
        <f t="shared" si="21"/>
        <v>0</v>
      </c>
      <c r="H98" s="81">
        <v>157480</v>
      </c>
      <c r="I98" s="81">
        <v>157480</v>
      </c>
      <c r="J98" s="186">
        <f t="shared" si="20"/>
        <v>1</v>
      </c>
      <c r="K98" s="164"/>
    </row>
    <row r="99" spans="1:11" x14ac:dyDescent="0.25">
      <c r="A99" s="132" t="s">
        <v>255</v>
      </c>
      <c r="B99" s="137"/>
      <c r="C99" s="78"/>
      <c r="D99" s="83"/>
      <c r="E99" s="78" t="s">
        <v>140</v>
      </c>
      <c r="F99" s="84"/>
      <c r="G99" s="81">
        <v>0</v>
      </c>
      <c r="H99" s="81">
        <v>157480</v>
      </c>
      <c r="I99" s="81">
        <v>157480</v>
      </c>
      <c r="J99" s="186">
        <f t="shared" si="20"/>
        <v>1</v>
      </c>
      <c r="K99" s="164"/>
    </row>
    <row r="100" spans="1:11" x14ac:dyDescent="0.25">
      <c r="A100" s="132" t="s">
        <v>256</v>
      </c>
      <c r="B100" s="137"/>
      <c r="C100" s="78" t="s">
        <v>78</v>
      </c>
      <c r="D100" s="85"/>
      <c r="E100" s="78" t="s">
        <v>79</v>
      </c>
      <c r="F100" s="86"/>
      <c r="G100" s="81">
        <f>G101+G102</f>
        <v>0</v>
      </c>
      <c r="H100" s="81">
        <f>H101+H102</f>
        <v>0</v>
      </c>
      <c r="I100" s="81">
        <f>I101+I102</f>
        <v>0</v>
      </c>
      <c r="J100" s="186" t="e">
        <f t="shared" si="20"/>
        <v>#DIV/0!</v>
      </c>
      <c r="K100" s="164"/>
    </row>
    <row r="101" spans="1:11" x14ac:dyDescent="0.25">
      <c r="A101" s="132" t="s">
        <v>257</v>
      </c>
      <c r="B101" s="137"/>
      <c r="C101" s="78"/>
      <c r="D101" s="83" t="s">
        <v>80</v>
      </c>
      <c r="E101" s="78" t="s">
        <v>81</v>
      </c>
      <c r="F101" s="84"/>
      <c r="G101" s="81">
        <v>0</v>
      </c>
      <c r="H101" s="81">
        <v>0</v>
      </c>
      <c r="I101" s="81">
        <v>0</v>
      </c>
      <c r="J101" s="186" t="e">
        <f t="shared" si="20"/>
        <v>#DIV/0!</v>
      </c>
      <c r="K101" s="164"/>
    </row>
    <row r="102" spans="1:11" x14ac:dyDescent="0.25">
      <c r="A102" s="132" t="s">
        <v>258</v>
      </c>
      <c r="B102" s="137"/>
      <c r="C102" s="78"/>
      <c r="D102" s="83" t="s">
        <v>86</v>
      </c>
      <c r="E102" s="78" t="s">
        <v>87</v>
      </c>
      <c r="F102" s="84"/>
      <c r="G102" s="81">
        <v>0</v>
      </c>
      <c r="H102" s="81">
        <v>0</v>
      </c>
      <c r="I102" s="81">
        <v>0</v>
      </c>
      <c r="J102" s="186" t="e">
        <f t="shared" si="20"/>
        <v>#DIV/0!</v>
      </c>
      <c r="K102" s="164"/>
    </row>
    <row r="103" spans="1:11" x14ac:dyDescent="0.25">
      <c r="A103" s="132" t="s">
        <v>259</v>
      </c>
      <c r="B103" s="137"/>
      <c r="C103" s="78" t="s">
        <v>92</v>
      </c>
      <c r="D103" s="83"/>
      <c r="E103" s="78" t="s">
        <v>93</v>
      </c>
      <c r="F103" s="84"/>
      <c r="G103" s="81">
        <f>G104</f>
        <v>0</v>
      </c>
      <c r="H103" s="81">
        <f>H104</f>
        <v>42520</v>
      </c>
      <c r="I103" s="81">
        <f>I104</f>
        <v>42520</v>
      </c>
      <c r="J103" s="186">
        <f t="shared" si="20"/>
        <v>1</v>
      </c>
      <c r="K103" s="164"/>
    </row>
    <row r="104" spans="1:11" x14ac:dyDescent="0.25">
      <c r="A104" s="132" t="s">
        <v>260</v>
      </c>
      <c r="B104" s="137"/>
      <c r="C104" s="78"/>
      <c r="D104" s="83" t="s">
        <v>94</v>
      </c>
      <c r="E104" s="78" t="s">
        <v>95</v>
      </c>
      <c r="F104" s="84"/>
      <c r="G104" s="81">
        <v>0</v>
      </c>
      <c r="H104" s="81">
        <v>42520</v>
      </c>
      <c r="I104" s="81">
        <v>42520</v>
      </c>
      <c r="J104" s="186">
        <f t="shared" si="20"/>
        <v>1</v>
      </c>
      <c r="K104" s="164"/>
    </row>
    <row r="105" spans="1:11" s="2" customFormat="1" ht="22.9" customHeight="1" x14ac:dyDescent="0.25">
      <c r="A105" s="132" t="s">
        <v>261</v>
      </c>
      <c r="B105" s="100" t="s">
        <v>100</v>
      </c>
      <c r="C105" s="100"/>
      <c r="D105" s="100"/>
      <c r="E105" s="101"/>
      <c r="F105" s="102"/>
      <c r="G105" s="103">
        <f>G8+G61+G65</f>
        <v>150327500.081</v>
      </c>
      <c r="H105" s="103">
        <f>H8+H61+H65+H89</f>
        <v>166556099</v>
      </c>
      <c r="I105" s="103">
        <f>I8+I61+I65+I89</f>
        <v>154803470</v>
      </c>
      <c r="J105" s="187">
        <f>I105/H105</f>
        <v>0.92943741435730909</v>
      </c>
      <c r="K105" s="173"/>
    </row>
    <row r="106" spans="1:11" s="2" customFormat="1" ht="15.6" customHeight="1" x14ac:dyDescent="0.25">
      <c r="A106" s="132" t="s">
        <v>262</v>
      </c>
      <c r="B106" s="140" t="s">
        <v>12</v>
      </c>
      <c r="C106" s="105" t="s">
        <v>13</v>
      </c>
      <c r="D106" s="105"/>
      <c r="E106" s="105"/>
      <c r="F106" s="105"/>
      <c r="G106" s="106">
        <f>G9</f>
        <v>113800000</v>
      </c>
      <c r="H106" s="175">
        <f>H9+H66+H90</f>
        <v>125191821</v>
      </c>
      <c r="I106" s="178">
        <f>I9+I66+I90</f>
        <v>120863168</v>
      </c>
      <c r="J106" s="188">
        <f>I106/H106</f>
        <v>0.96542383547564181</v>
      </c>
      <c r="K106" s="174"/>
    </row>
    <row r="107" spans="1:11" s="2" customFormat="1" ht="15.6" customHeight="1" x14ac:dyDescent="0.25">
      <c r="A107" s="132" t="s">
        <v>263</v>
      </c>
      <c r="B107" s="141" t="s">
        <v>14</v>
      </c>
      <c r="C107" s="98" t="s">
        <v>15</v>
      </c>
      <c r="D107" s="98"/>
      <c r="E107" s="98"/>
      <c r="F107" s="98"/>
      <c r="G107" s="99">
        <f>G20</f>
        <v>15666500</v>
      </c>
      <c r="H107" s="176">
        <f>H20+H71+H94</f>
        <v>17118103</v>
      </c>
      <c r="I107" s="179">
        <f>I20+I71+I94</f>
        <v>16662379</v>
      </c>
      <c r="J107" s="189">
        <f t="shared" ref="J107:J110" si="22">I107/H107</f>
        <v>0.97337765755936856</v>
      </c>
      <c r="K107" s="174"/>
    </row>
    <row r="108" spans="1:11" s="2" customFormat="1" ht="15.6" customHeight="1" x14ac:dyDescent="0.25">
      <c r="A108" s="132" t="s">
        <v>264</v>
      </c>
      <c r="B108" s="141" t="s">
        <v>16</v>
      </c>
      <c r="C108" s="98" t="s">
        <v>17</v>
      </c>
      <c r="D108" s="98"/>
      <c r="E108" s="98"/>
      <c r="F108" s="98"/>
      <c r="G108" s="99">
        <f>G23</f>
        <v>18211000</v>
      </c>
      <c r="H108" s="176">
        <f>H23+H74+H96</f>
        <v>21041860</v>
      </c>
      <c r="I108" s="179">
        <f>I23+I74+I96</f>
        <v>15082983</v>
      </c>
      <c r="J108" s="189">
        <f t="shared" si="22"/>
        <v>0.71680844754218498</v>
      </c>
      <c r="K108" s="174"/>
    </row>
    <row r="109" spans="1:11" s="4" customFormat="1" ht="15.6" customHeight="1" x14ac:dyDescent="0.25">
      <c r="A109" s="132" t="s">
        <v>265</v>
      </c>
      <c r="B109" s="141" t="s">
        <v>18</v>
      </c>
      <c r="C109" s="98" t="s">
        <v>101</v>
      </c>
      <c r="D109" s="98"/>
      <c r="E109" s="98"/>
      <c r="F109" s="98"/>
      <c r="G109" s="99">
        <f>G62</f>
        <v>2500000</v>
      </c>
      <c r="H109" s="176">
        <f>H62</f>
        <v>2500000</v>
      </c>
      <c r="I109" s="179">
        <f>I62</f>
        <v>1531715</v>
      </c>
      <c r="J109" s="189">
        <f t="shared" si="22"/>
        <v>0.61268599999999995</v>
      </c>
      <c r="K109" s="174"/>
    </row>
    <row r="110" spans="1:11" s="4" customFormat="1" ht="15.6" customHeight="1" x14ac:dyDescent="0.25">
      <c r="A110" s="132" t="s">
        <v>266</v>
      </c>
      <c r="B110" s="142" t="s">
        <v>120</v>
      </c>
      <c r="C110" s="107" t="s">
        <v>121</v>
      </c>
      <c r="D110" s="107"/>
      <c r="E110" s="107"/>
      <c r="F110" s="107"/>
      <c r="G110" s="108">
        <f>G57</f>
        <v>150000.08100000001</v>
      </c>
      <c r="H110" s="177">
        <f>H57+H86</f>
        <v>704315</v>
      </c>
      <c r="I110" s="180">
        <f>I57+I86</f>
        <v>663225</v>
      </c>
      <c r="J110" s="190">
        <f t="shared" si="22"/>
        <v>0.94165962672951731</v>
      </c>
      <c r="K110" s="174"/>
    </row>
    <row r="111" spans="1:11" s="2" customFormat="1" x14ac:dyDescent="0.25">
      <c r="A111" s="132" t="s">
        <v>267</v>
      </c>
      <c r="B111" s="143" t="s">
        <v>102</v>
      </c>
      <c r="C111" s="53"/>
      <c r="D111" s="53"/>
      <c r="E111" s="53"/>
      <c r="F111" s="53"/>
      <c r="G111" s="104">
        <f>SUM(G106:G110)</f>
        <v>150327500.081</v>
      </c>
      <c r="H111" s="104">
        <f>SUM(H106:H110)</f>
        <v>166556099</v>
      </c>
      <c r="I111" s="104">
        <f>SUM(I106:I110)</f>
        <v>154803470</v>
      </c>
      <c r="J111" s="191">
        <f>I111/H111</f>
        <v>0.92943741435730909</v>
      </c>
      <c r="K111" s="173"/>
    </row>
    <row r="112" spans="1:11" s="2" customFormat="1" x14ac:dyDescent="0.25">
      <c r="A112" s="132" t="s">
        <v>268</v>
      </c>
      <c r="B112" s="40"/>
      <c r="C112" s="46" t="s">
        <v>103</v>
      </c>
      <c r="D112" s="46"/>
      <c r="E112" s="47"/>
      <c r="F112" s="48">
        <v>23</v>
      </c>
      <c r="G112"/>
      <c r="H112" s="150"/>
      <c r="I112" s="150"/>
      <c r="J112" s="192"/>
      <c r="K112" s="150"/>
    </row>
    <row r="113" spans="2:11" x14ac:dyDescent="0.25">
      <c r="B113" s="2"/>
      <c r="C113" s="2"/>
      <c r="D113" s="2"/>
      <c r="E113" s="2"/>
      <c r="G113" s="2"/>
      <c r="H113" s="62"/>
      <c r="I113" s="62"/>
      <c r="J113" s="62"/>
      <c r="K113" s="62"/>
    </row>
    <row r="114" spans="2:11" x14ac:dyDescent="0.25">
      <c r="H114" s="62"/>
      <c r="I114" s="62"/>
      <c r="J114" s="62"/>
      <c r="K114" s="62"/>
    </row>
    <row r="115" spans="2:11" x14ac:dyDescent="0.25">
      <c r="H115" s="130"/>
      <c r="I115" s="130"/>
      <c r="J115" s="130"/>
      <c r="K115" s="130"/>
    </row>
  </sheetData>
  <sheetProtection selectLockedCells="1" selectUnlockedCells="1"/>
  <mergeCells count="10">
    <mergeCell ref="B89:E89"/>
    <mergeCell ref="B65:E65"/>
    <mergeCell ref="C62:E62"/>
    <mergeCell ref="B1:F1"/>
    <mergeCell ref="B6:E7"/>
    <mergeCell ref="F6:F7"/>
    <mergeCell ref="B8:E8"/>
    <mergeCell ref="B61:F61"/>
    <mergeCell ref="A2:J2"/>
    <mergeCell ref="A3:J3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53" firstPageNumber="0" orientation="portrait" verticalDpi="300" r:id="rId1"/>
  <headerFooter alignWithMargins="0">
    <oddFooter>&amp;C&amp;P. oldal</oddFooter>
  </headerFooter>
  <rowBreaks count="1" manualBreakCount="1">
    <brk id="6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="80" zoomScaleNormal="100" zoomScaleSheetLayoutView="80" workbookViewId="0">
      <pane ySplit="7" topLeftCell="A8" activePane="bottomLeft" state="frozen"/>
      <selection pane="bottomLeft" activeCell="E9" sqref="E9"/>
    </sheetView>
  </sheetViews>
  <sheetFormatPr defaultColWidth="8.75" defaultRowHeight="12.75" x14ac:dyDescent="0.2"/>
  <cols>
    <col min="1" max="1" width="5.5" style="223" customWidth="1"/>
    <col min="2" max="2" width="7.375" style="212" customWidth="1"/>
    <col min="3" max="3" width="36.875" style="212" customWidth="1"/>
    <col min="4" max="4" width="22.75" style="212" customWidth="1"/>
    <col min="5" max="5" width="21.75" style="212" customWidth="1"/>
    <col min="6" max="6" width="21.125" style="212" customWidth="1"/>
    <col min="7" max="16384" width="8.75" style="212"/>
  </cols>
  <sheetData>
    <row r="1" spans="1:7" s="213" customFormat="1" ht="15.75" x14ac:dyDescent="0.25">
      <c r="A1" s="230"/>
      <c r="B1" s="242" t="s">
        <v>0</v>
      </c>
      <c r="C1" s="267"/>
      <c r="D1" s="267"/>
      <c r="E1" s="267"/>
      <c r="F1" s="267"/>
      <c r="G1" s="243"/>
    </row>
    <row r="2" spans="1:7" s="213" customFormat="1" ht="15.75" x14ac:dyDescent="0.25">
      <c r="A2" s="230"/>
      <c r="B2" s="242" t="s">
        <v>337</v>
      </c>
      <c r="C2" s="267"/>
      <c r="D2" s="267"/>
      <c r="E2" s="267"/>
      <c r="F2" s="267"/>
      <c r="G2" s="243"/>
    </row>
    <row r="3" spans="1:7" s="213" customFormat="1" ht="15.75" x14ac:dyDescent="0.25">
      <c r="A3" s="230"/>
      <c r="B3" s="147"/>
      <c r="C3" s="13"/>
      <c r="D3" s="13"/>
      <c r="E3" s="13"/>
      <c r="F3" s="13"/>
      <c r="G3" s="149"/>
    </row>
    <row r="4" spans="1:7" s="213" customFormat="1" ht="34.15" customHeight="1" x14ac:dyDescent="0.25">
      <c r="A4" s="228" t="s">
        <v>336</v>
      </c>
      <c r="B4" s="121" t="s">
        <v>166</v>
      </c>
      <c r="C4" s="121" t="s">
        <v>167</v>
      </c>
      <c r="D4" s="121" t="s">
        <v>168</v>
      </c>
      <c r="E4" s="121" t="s">
        <v>169</v>
      </c>
      <c r="F4" s="121" t="s">
        <v>170</v>
      </c>
      <c r="G4" s="149"/>
    </row>
    <row r="5" spans="1:7" x14ac:dyDescent="0.2">
      <c r="A5" s="226" t="s">
        <v>151</v>
      </c>
      <c r="B5" s="265" t="s">
        <v>277</v>
      </c>
      <c r="C5" s="266"/>
      <c r="D5" s="266"/>
      <c r="E5" s="266"/>
      <c r="F5" s="266"/>
    </row>
    <row r="6" spans="1:7" ht="15.75" x14ac:dyDescent="0.2">
      <c r="A6" s="226" t="s">
        <v>152</v>
      </c>
      <c r="B6" s="214" t="s">
        <v>278</v>
      </c>
      <c r="C6" s="214" t="s">
        <v>1</v>
      </c>
      <c r="D6" s="214" t="s">
        <v>279</v>
      </c>
      <c r="E6" s="214" t="s">
        <v>280</v>
      </c>
      <c r="F6" s="214" t="s">
        <v>281</v>
      </c>
    </row>
    <row r="7" spans="1:7" ht="15.75" x14ac:dyDescent="0.2">
      <c r="A7" s="226" t="s">
        <v>153</v>
      </c>
      <c r="B7" s="214">
        <v>1</v>
      </c>
      <c r="C7" s="214">
        <v>2</v>
      </c>
      <c r="D7" s="214">
        <v>3</v>
      </c>
      <c r="E7" s="214">
        <v>4</v>
      </c>
      <c r="F7" s="214">
        <v>5</v>
      </c>
    </row>
    <row r="8" spans="1:7" ht="25.5" x14ac:dyDescent="0.2">
      <c r="A8" s="226" t="s">
        <v>154</v>
      </c>
      <c r="B8" s="215" t="s">
        <v>282</v>
      </c>
      <c r="C8" s="216" t="s">
        <v>283</v>
      </c>
      <c r="D8" s="217">
        <v>232880</v>
      </c>
      <c r="E8" s="217">
        <v>0</v>
      </c>
      <c r="F8" s="217">
        <v>154686</v>
      </c>
    </row>
    <row r="9" spans="1:7" x14ac:dyDescent="0.2">
      <c r="A9" s="226" t="s">
        <v>155</v>
      </c>
      <c r="B9" s="218" t="s">
        <v>284</v>
      </c>
      <c r="C9" s="219" t="s">
        <v>285</v>
      </c>
      <c r="D9" s="220">
        <v>232880</v>
      </c>
      <c r="E9" s="220">
        <v>0</v>
      </c>
      <c r="F9" s="220">
        <v>154686</v>
      </c>
    </row>
    <row r="10" spans="1:7" ht="25.5" x14ac:dyDescent="0.2">
      <c r="A10" s="226" t="s">
        <v>156</v>
      </c>
      <c r="B10" s="218" t="s">
        <v>286</v>
      </c>
      <c r="C10" s="219" t="s">
        <v>287</v>
      </c>
      <c r="D10" s="220">
        <v>232880</v>
      </c>
      <c r="E10" s="220">
        <v>0</v>
      </c>
      <c r="F10" s="220">
        <v>154686</v>
      </c>
    </row>
    <row r="11" spans="1:7" x14ac:dyDescent="0.2">
      <c r="A11" s="226" t="s">
        <v>157</v>
      </c>
      <c r="B11" s="215" t="s">
        <v>288</v>
      </c>
      <c r="C11" s="216" t="s">
        <v>289</v>
      </c>
      <c r="D11" s="217">
        <v>173225</v>
      </c>
      <c r="E11" s="217">
        <v>0</v>
      </c>
      <c r="F11" s="217">
        <v>218745</v>
      </c>
    </row>
    <row r="12" spans="1:7" ht="25.5" x14ac:dyDescent="0.2">
      <c r="A12" s="226" t="s">
        <v>158</v>
      </c>
      <c r="B12" s="218" t="s">
        <v>290</v>
      </c>
      <c r="C12" s="219" t="s">
        <v>291</v>
      </c>
      <c r="D12" s="220">
        <v>173225</v>
      </c>
      <c r="E12" s="220">
        <v>0</v>
      </c>
      <c r="F12" s="220">
        <v>218745</v>
      </c>
    </row>
    <row r="13" spans="1:7" x14ac:dyDescent="0.2">
      <c r="A13" s="226" t="s">
        <v>159</v>
      </c>
      <c r="B13" s="215" t="s">
        <v>292</v>
      </c>
      <c r="C13" s="216" t="s">
        <v>293</v>
      </c>
      <c r="D13" s="217">
        <v>15797751</v>
      </c>
      <c r="E13" s="217">
        <v>0</v>
      </c>
      <c r="F13" s="217">
        <v>10661815</v>
      </c>
    </row>
    <row r="14" spans="1:7" x14ac:dyDescent="0.2">
      <c r="A14" s="226" t="s">
        <v>160</v>
      </c>
      <c r="B14" s="218" t="s">
        <v>294</v>
      </c>
      <c r="C14" s="219" t="s">
        <v>295</v>
      </c>
      <c r="D14" s="220">
        <v>15797751</v>
      </c>
      <c r="E14" s="220">
        <v>0</v>
      </c>
      <c r="F14" s="220">
        <v>10661815</v>
      </c>
    </row>
    <row r="15" spans="1:7" x14ac:dyDescent="0.2">
      <c r="A15" s="226" t="s">
        <v>161</v>
      </c>
      <c r="B15" s="218" t="s">
        <v>296</v>
      </c>
      <c r="C15" s="219" t="s">
        <v>297</v>
      </c>
      <c r="D15" s="220">
        <v>15970976</v>
      </c>
      <c r="E15" s="220">
        <v>0</v>
      </c>
      <c r="F15" s="220">
        <v>10880560</v>
      </c>
    </row>
    <row r="16" spans="1:7" x14ac:dyDescent="0.2">
      <c r="A16" s="226" t="s">
        <v>162</v>
      </c>
      <c r="B16" s="215" t="s">
        <v>298</v>
      </c>
      <c r="C16" s="216" t="s">
        <v>299</v>
      </c>
      <c r="D16" s="217">
        <v>100000</v>
      </c>
      <c r="E16" s="217">
        <v>0</v>
      </c>
      <c r="F16" s="217">
        <v>593527</v>
      </c>
    </row>
    <row r="17" spans="1:6" ht="25.5" x14ac:dyDescent="0.2">
      <c r="A17" s="226" t="s">
        <v>163</v>
      </c>
      <c r="B17" s="215" t="s">
        <v>300</v>
      </c>
      <c r="C17" s="216" t="s">
        <v>301</v>
      </c>
      <c r="D17" s="217">
        <v>100000</v>
      </c>
      <c r="E17" s="217">
        <v>0</v>
      </c>
      <c r="F17" s="217">
        <v>0</v>
      </c>
    </row>
    <row r="18" spans="1:6" ht="25.5" x14ac:dyDescent="0.2">
      <c r="A18" s="226" t="s">
        <v>164</v>
      </c>
      <c r="B18" s="215" t="s">
        <v>302</v>
      </c>
      <c r="C18" s="216" t="s">
        <v>303</v>
      </c>
      <c r="D18" s="217">
        <v>0</v>
      </c>
      <c r="E18" s="217">
        <v>0</v>
      </c>
      <c r="F18" s="217">
        <v>593527</v>
      </c>
    </row>
    <row r="19" spans="1:6" ht="25.5" x14ac:dyDescent="0.2">
      <c r="A19" s="226" t="s">
        <v>165</v>
      </c>
      <c r="B19" s="218" t="s">
        <v>304</v>
      </c>
      <c r="C19" s="219" t="s">
        <v>305</v>
      </c>
      <c r="D19" s="220">
        <v>100000</v>
      </c>
      <c r="E19" s="220">
        <v>0</v>
      </c>
      <c r="F19" s="220">
        <v>593527</v>
      </c>
    </row>
    <row r="20" spans="1:6" x14ac:dyDescent="0.2">
      <c r="A20" s="226" t="s">
        <v>175</v>
      </c>
      <c r="B20" s="218" t="s">
        <v>306</v>
      </c>
      <c r="C20" s="219" t="s">
        <v>307</v>
      </c>
      <c r="D20" s="220">
        <v>100000</v>
      </c>
      <c r="E20" s="220">
        <v>0</v>
      </c>
      <c r="F20" s="220">
        <v>593527</v>
      </c>
    </row>
    <row r="21" spans="1:6" x14ac:dyDescent="0.2">
      <c r="A21" s="226" t="s">
        <v>176</v>
      </c>
      <c r="B21" s="218" t="s">
        <v>308</v>
      </c>
      <c r="C21" s="219" t="s">
        <v>309</v>
      </c>
      <c r="D21" s="220">
        <v>16303856</v>
      </c>
      <c r="E21" s="220">
        <v>0</v>
      </c>
      <c r="F21" s="220">
        <v>11628773</v>
      </c>
    </row>
    <row r="22" spans="1:6" ht="25.5" x14ac:dyDescent="0.2">
      <c r="A22" s="226" t="s">
        <v>177</v>
      </c>
      <c r="B22" s="215" t="s">
        <v>310</v>
      </c>
      <c r="C22" s="216" t="s">
        <v>311</v>
      </c>
      <c r="D22" s="217">
        <v>10689794</v>
      </c>
      <c r="E22" s="217">
        <v>0</v>
      </c>
      <c r="F22" s="217">
        <v>10689794</v>
      </c>
    </row>
    <row r="23" spans="1:6" x14ac:dyDescent="0.2">
      <c r="A23" s="226" t="s">
        <v>178</v>
      </c>
      <c r="B23" s="215" t="s">
        <v>312</v>
      </c>
      <c r="C23" s="216" t="s">
        <v>313</v>
      </c>
      <c r="D23" s="217">
        <v>-4397246</v>
      </c>
      <c r="E23" s="217">
        <v>0</v>
      </c>
      <c r="F23" s="217">
        <v>-3152224</v>
      </c>
    </row>
    <row r="24" spans="1:6" x14ac:dyDescent="0.2">
      <c r="A24" s="226" t="s">
        <v>179</v>
      </c>
      <c r="B24" s="215" t="s">
        <v>314</v>
      </c>
      <c r="C24" s="216" t="s">
        <v>315</v>
      </c>
      <c r="D24" s="217">
        <v>1245022</v>
      </c>
      <c r="E24" s="217">
        <v>0</v>
      </c>
      <c r="F24" s="217">
        <v>-9141093</v>
      </c>
    </row>
    <row r="25" spans="1:6" x14ac:dyDescent="0.2">
      <c r="A25" s="226" t="s">
        <v>180</v>
      </c>
      <c r="B25" s="218" t="s">
        <v>316</v>
      </c>
      <c r="C25" s="219" t="s">
        <v>317</v>
      </c>
      <c r="D25" s="220">
        <v>7537570</v>
      </c>
      <c r="E25" s="220">
        <v>0</v>
      </c>
      <c r="F25" s="220">
        <v>-1603523</v>
      </c>
    </row>
    <row r="26" spans="1:6" ht="25.5" x14ac:dyDescent="0.2">
      <c r="A26" s="226" t="s">
        <v>181</v>
      </c>
      <c r="B26" s="215" t="s">
        <v>318</v>
      </c>
      <c r="C26" s="216" t="s">
        <v>319</v>
      </c>
      <c r="D26" s="217">
        <v>114300</v>
      </c>
      <c r="E26" s="217">
        <v>0</v>
      </c>
      <c r="F26" s="217">
        <v>0</v>
      </c>
    </row>
    <row r="27" spans="1:6" ht="25.5" x14ac:dyDescent="0.2">
      <c r="A27" s="226" t="s">
        <v>182</v>
      </c>
      <c r="B27" s="218" t="s">
        <v>320</v>
      </c>
      <c r="C27" s="219" t="s">
        <v>321</v>
      </c>
      <c r="D27" s="220">
        <v>114300</v>
      </c>
      <c r="E27" s="220">
        <v>0</v>
      </c>
      <c r="F27" s="220">
        <v>0</v>
      </c>
    </row>
    <row r="28" spans="1:6" ht="25.5" x14ac:dyDescent="0.2">
      <c r="A28" s="226" t="s">
        <v>183</v>
      </c>
      <c r="B28" s="215" t="s">
        <v>322</v>
      </c>
      <c r="C28" s="216" t="s">
        <v>323</v>
      </c>
      <c r="D28" s="217">
        <v>5000</v>
      </c>
      <c r="E28" s="217">
        <v>0</v>
      </c>
      <c r="F28" s="217">
        <v>0</v>
      </c>
    </row>
    <row r="29" spans="1:6" ht="25.5" x14ac:dyDescent="0.2">
      <c r="A29" s="226" t="s">
        <v>184</v>
      </c>
      <c r="B29" s="218" t="s">
        <v>324</v>
      </c>
      <c r="C29" s="219" t="s">
        <v>325</v>
      </c>
      <c r="D29" s="220">
        <v>5000</v>
      </c>
      <c r="E29" s="220">
        <v>0</v>
      </c>
      <c r="F29" s="220">
        <v>0</v>
      </c>
    </row>
    <row r="30" spans="1:6" x14ac:dyDescent="0.2">
      <c r="A30" s="226" t="s">
        <v>185</v>
      </c>
      <c r="B30" s="218" t="s">
        <v>326</v>
      </c>
      <c r="C30" s="219" t="s">
        <v>327</v>
      </c>
      <c r="D30" s="220">
        <v>119300</v>
      </c>
      <c r="E30" s="220">
        <v>0</v>
      </c>
      <c r="F30" s="220">
        <v>0</v>
      </c>
    </row>
    <row r="31" spans="1:6" ht="25.5" x14ac:dyDescent="0.2">
      <c r="A31" s="226" t="s">
        <v>186</v>
      </c>
      <c r="B31" s="215" t="s">
        <v>328</v>
      </c>
      <c r="C31" s="216" t="s">
        <v>329</v>
      </c>
      <c r="D31" s="217">
        <v>0</v>
      </c>
      <c r="E31" s="217">
        <v>0</v>
      </c>
      <c r="F31" s="217">
        <v>1643731</v>
      </c>
    </row>
    <row r="32" spans="1:6" ht="25.5" x14ac:dyDescent="0.2">
      <c r="A32" s="226" t="s">
        <v>187</v>
      </c>
      <c r="B32" s="215" t="s">
        <v>330</v>
      </c>
      <c r="C32" s="216" t="s">
        <v>331</v>
      </c>
      <c r="D32" s="217">
        <v>8646986</v>
      </c>
      <c r="E32" s="217">
        <v>0</v>
      </c>
      <c r="F32" s="217">
        <v>11588565</v>
      </c>
    </row>
    <row r="33" spans="1:6" x14ac:dyDescent="0.2">
      <c r="A33" s="226" t="s">
        <v>188</v>
      </c>
      <c r="B33" s="218" t="s">
        <v>332</v>
      </c>
      <c r="C33" s="219" t="s">
        <v>333</v>
      </c>
      <c r="D33" s="220">
        <v>8646986</v>
      </c>
      <c r="E33" s="220">
        <v>0</v>
      </c>
      <c r="F33" s="220">
        <v>13232296</v>
      </c>
    </row>
    <row r="34" spans="1:6" x14ac:dyDescent="0.2">
      <c r="A34" s="226" t="s">
        <v>189</v>
      </c>
      <c r="B34" s="218" t="s">
        <v>334</v>
      </c>
      <c r="C34" s="219" t="s">
        <v>335</v>
      </c>
      <c r="D34" s="220">
        <v>16303856</v>
      </c>
      <c r="E34" s="220">
        <v>0</v>
      </c>
      <c r="F34" s="220">
        <v>11628773</v>
      </c>
    </row>
  </sheetData>
  <mergeCells count="3">
    <mergeCell ref="B5:F5"/>
    <mergeCell ref="B1:G1"/>
    <mergeCell ref="B2:G2"/>
  </mergeCells>
  <pageMargins left="0.7" right="0.7" top="0.75" bottom="0.75" header="0.3" footer="0.3"/>
  <pageSetup paperSize="9" scale="71" orientation="portrait" r:id="rId1"/>
  <headerFooter>
    <oddHeader>&amp;RÉrték típus: Forint</oddHeader>
    <oddFooter>&amp;LAdatellenőrző kód: 2f-36-1054-7d-7312-7d43-4d3949-1e-1874796750692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view="pageBreakPreview" zoomScaleNormal="100" zoomScaleSheetLayoutView="100" workbookViewId="0">
      <pane ySplit="7" topLeftCell="A8" activePane="bottomLeft" state="frozen"/>
      <selection pane="bottomLeft" activeCell="D21" sqref="D21"/>
    </sheetView>
  </sheetViews>
  <sheetFormatPr defaultColWidth="8.75" defaultRowHeight="12.75" x14ac:dyDescent="0.2"/>
  <cols>
    <col min="1" max="1" width="5" style="223" customWidth="1"/>
    <col min="2" max="2" width="7.375" style="212" customWidth="1"/>
    <col min="3" max="3" width="36.875" style="212" customWidth="1"/>
    <col min="4" max="4" width="29.5" style="212" customWidth="1"/>
    <col min="5" max="5" width="9.125" style="212" customWidth="1"/>
    <col min="6" max="16384" width="8.75" style="212"/>
  </cols>
  <sheetData>
    <row r="1" spans="1:4" s="213" customFormat="1" ht="15.75" x14ac:dyDescent="0.25">
      <c r="A1" s="268" t="s">
        <v>0</v>
      </c>
      <c r="B1" s="267"/>
      <c r="C1" s="267"/>
      <c r="D1" s="243"/>
    </row>
    <row r="2" spans="1:4" s="213" customFormat="1" ht="15.75" x14ac:dyDescent="0.25">
      <c r="A2" s="268" t="s">
        <v>391</v>
      </c>
      <c r="B2" s="267"/>
      <c r="C2" s="267"/>
      <c r="D2" s="243"/>
    </row>
    <row r="3" spans="1:4" s="213" customFormat="1" ht="15.75" x14ac:dyDescent="0.25">
      <c r="A3" s="221"/>
      <c r="B3" s="13"/>
      <c r="C3" s="13"/>
      <c r="D3" s="149"/>
    </row>
    <row r="4" spans="1:4" s="213" customFormat="1" ht="25.15" customHeight="1" x14ac:dyDescent="0.2">
      <c r="A4" s="224" t="s">
        <v>174</v>
      </c>
      <c r="B4" s="132" t="s">
        <v>166</v>
      </c>
      <c r="C4" s="132" t="s">
        <v>167</v>
      </c>
      <c r="D4" s="225" t="s">
        <v>168</v>
      </c>
    </row>
    <row r="5" spans="1:4" x14ac:dyDescent="0.2">
      <c r="A5" s="226" t="s">
        <v>151</v>
      </c>
      <c r="B5" s="265" t="s">
        <v>338</v>
      </c>
      <c r="C5" s="266"/>
      <c r="D5" s="266"/>
    </row>
    <row r="6" spans="1:4" ht="15.75" x14ac:dyDescent="0.2">
      <c r="A6" s="226" t="s">
        <v>152</v>
      </c>
      <c r="B6" s="214" t="s">
        <v>278</v>
      </c>
      <c r="C6" s="214" t="s">
        <v>1</v>
      </c>
      <c r="D6" s="214" t="s">
        <v>339</v>
      </c>
    </row>
    <row r="7" spans="1:4" ht="15.75" x14ac:dyDescent="0.2">
      <c r="A7" s="226" t="s">
        <v>153</v>
      </c>
      <c r="B7" s="214">
        <v>1</v>
      </c>
      <c r="C7" s="214">
        <v>2</v>
      </c>
      <c r="D7" s="214">
        <v>3</v>
      </c>
    </row>
    <row r="8" spans="1:4" x14ac:dyDescent="0.2">
      <c r="A8" s="226" t="s">
        <v>154</v>
      </c>
      <c r="B8" s="215" t="s">
        <v>340</v>
      </c>
      <c r="C8" s="216" t="s">
        <v>341</v>
      </c>
      <c r="D8" s="217">
        <v>13570208</v>
      </c>
    </row>
    <row r="9" spans="1:4" x14ac:dyDescent="0.2">
      <c r="A9" s="226" t="s">
        <v>155</v>
      </c>
      <c r="B9" s="215" t="s">
        <v>342</v>
      </c>
      <c r="C9" s="216" t="s">
        <v>343</v>
      </c>
      <c r="D9" s="217">
        <v>154803470</v>
      </c>
    </row>
    <row r="10" spans="1:4" ht="25.5" x14ac:dyDescent="0.2">
      <c r="A10" s="226" t="s">
        <v>156</v>
      </c>
      <c r="B10" s="218" t="s">
        <v>344</v>
      </c>
      <c r="C10" s="219" t="s">
        <v>345</v>
      </c>
      <c r="D10" s="220">
        <v>-141233262</v>
      </c>
    </row>
    <row r="11" spans="1:4" x14ac:dyDescent="0.2">
      <c r="A11" s="226" t="s">
        <v>157</v>
      </c>
      <c r="B11" s="215" t="s">
        <v>346</v>
      </c>
      <c r="C11" s="216" t="s">
        <v>347</v>
      </c>
      <c r="D11" s="217">
        <v>152707349</v>
      </c>
    </row>
    <row r="12" spans="1:4" ht="25.5" x14ac:dyDescent="0.2">
      <c r="A12" s="226" t="s">
        <v>158</v>
      </c>
      <c r="B12" s="218" t="s">
        <v>282</v>
      </c>
      <c r="C12" s="219" t="s">
        <v>348</v>
      </c>
      <c r="D12" s="220">
        <v>152707349</v>
      </c>
    </row>
    <row r="13" spans="1:4" x14ac:dyDescent="0.2">
      <c r="A13" s="226" t="s">
        <v>159</v>
      </c>
      <c r="B13" s="218" t="s">
        <v>349</v>
      </c>
      <c r="C13" s="219" t="s">
        <v>350</v>
      </c>
      <c r="D13" s="220">
        <v>11474087</v>
      </c>
    </row>
    <row r="14" spans="1:4" x14ac:dyDescent="0.2">
      <c r="A14" s="226" t="s">
        <v>160</v>
      </c>
      <c r="B14" s="218" t="s">
        <v>351</v>
      </c>
      <c r="C14" s="219" t="s">
        <v>352</v>
      </c>
      <c r="D14" s="220">
        <v>11474087</v>
      </c>
    </row>
    <row r="15" spans="1:4" x14ac:dyDescent="0.2">
      <c r="A15" s="226" t="s">
        <v>161</v>
      </c>
      <c r="B15" s="218" t="s">
        <v>353</v>
      </c>
      <c r="C15" s="219" t="s">
        <v>354</v>
      </c>
      <c r="D15" s="220">
        <v>11474087</v>
      </c>
    </row>
  </sheetData>
  <mergeCells count="3">
    <mergeCell ref="B5:D5"/>
    <mergeCell ref="A1:D1"/>
    <mergeCell ref="A2:D2"/>
  </mergeCells>
  <pageMargins left="0.7" right="0.7" top="0.75" bottom="0.75" header="0.3" footer="0.3"/>
  <pageSetup paperSize="9" orientation="portrait" r:id="rId1"/>
  <headerFooter>
    <oddHeader>&amp;RÉrték típus: Forint</oddHeader>
    <oddFooter>&amp;LAdatellenőrző kód: 2f-36-1054-7d-7312-7d43-4d3949-1e-1874796750692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="90" zoomScaleNormal="100" zoomScaleSheetLayoutView="90" workbookViewId="0">
      <pane ySplit="7" topLeftCell="A8" activePane="bottomLeft" state="frozen"/>
      <selection pane="bottomLeft" activeCell="E39" sqref="E39"/>
    </sheetView>
  </sheetViews>
  <sheetFormatPr defaultColWidth="8.75" defaultRowHeight="12.75" x14ac:dyDescent="0.2"/>
  <cols>
    <col min="1" max="1" width="4.625" style="223" customWidth="1"/>
    <col min="2" max="2" width="7.375" style="212" customWidth="1"/>
    <col min="3" max="3" width="36.125" style="212" customWidth="1"/>
    <col min="4" max="4" width="17.125" style="212" customWidth="1"/>
    <col min="5" max="5" width="16.75" style="212" customWidth="1"/>
    <col min="6" max="6" width="15.625" style="212" customWidth="1"/>
    <col min="7" max="16384" width="8.75" style="212"/>
  </cols>
  <sheetData>
    <row r="1" spans="1:7" s="213" customFormat="1" ht="15.75" x14ac:dyDescent="0.25">
      <c r="A1" s="269" t="s">
        <v>0</v>
      </c>
      <c r="B1" s="269"/>
      <c r="C1" s="269"/>
      <c r="D1" s="269"/>
      <c r="E1" s="243"/>
      <c r="F1" s="243"/>
    </row>
    <row r="2" spans="1:7" s="213" customFormat="1" ht="15.75" x14ac:dyDescent="0.25">
      <c r="A2" s="270" t="s">
        <v>392</v>
      </c>
      <c r="B2" s="270"/>
      <c r="C2" s="270"/>
      <c r="D2" s="270"/>
      <c r="E2" s="243"/>
      <c r="F2" s="243"/>
    </row>
    <row r="3" spans="1:7" s="213" customFormat="1" ht="15.75" x14ac:dyDescent="0.25">
      <c r="A3" s="227"/>
      <c r="B3" s="227"/>
      <c r="C3" s="227"/>
      <c r="D3" s="227"/>
      <c r="E3" s="149"/>
      <c r="F3" s="149"/>
    </row>
    <row r="4" spans="1:7" s="213" customFormat="1" ht="26.45" customHeight="1" x14ac:dyDescent="0.25">
      <c r="A4" s="228" t="s">
        <v>174</v>
      </c>
      <c r="B4" s="229" t="s">
        <v>166</v>
      </c>
      <c r="C4" s="229" t="s">
        <v>167</v>
      </c>
      <c r="D4" s="229" t="s">
        <v>168</v>
      </c>
      <c r="E4" s="229" t="s">
        <v>169</v>
      </c>
      <c r="F4" s="229" t="s">
        <v>170</v>
      </c>
      <c r="G4" s="149"/>
    </row>
    <row r="5" spans="1:7" x14ac:dyDescent="0.2">
      <c r="A5" s="226" t="s">
        <v>151</v>
      </c>
      <c r="B5" s="265" t="s">
        <v>355</v>
      </c>
      <c r="C5" s="266"/>
      <c r="D5" s="266"/>
      <c r="E5" s="266"/>
      <c r="F5" s="266"/>
    </row>
    <row r="6" spans="1:7" ht="15.75" x14ac:dyDescent="0.2">
      <c r="A6" s="226" t="s">
        <v>152</v>
      </c>
      <c r="B6" s="214" t="s">
        <v>278</v>
      </c>
      <c r="C6" s="214" t="s">
        <v>1</v>
      </c>
      <c r="D6" s="214" t="s">
        <v>279</v>
      </c>
      <c r="E6" s="214" t="s">
        <v>280</v>
      </c>
      <c r="F6" s="214" t="s">
        <v>281</v>
      </c>
    </row>
    <row r="7" spans="1:7" ht="15.75" x14ac:dyDescent="0.2">
      <c r="A7" s="226" t="s">
        <v>153</v>
      </c>
      <c r="B7" s="214">
        <v>1</v>
      </c>
      <c r="C7" s="214">
        <v>2</v>
      </c>
      <c r="D7" s="214">
        <v>3</v>
      </c>
      <c r="E7" s="214">
        <v>4</v>
      </c>
      <c r="F7" s="214">
        <v>5</v>
      </c>
    </row>
    <row r="8" spans="1:7" ht="25.5" x14ac:dyDescent="0.2">
      <c r="A8" s="226" t="s">
        <v>154</v>
      </c>
      <c r="B8" s="215" t="s">
        <v>356</v>
      </c>
      <c r="C8" s="216" t="s">
        <v>357</v>
      </c>
      <c r="D8" s="217">
        <v>127535359</v>
      </c>
      <c r="E8" s="217">
        <v>0</v>
      </c>
      <c r="F8" s="217">
        <v>136641373</v>
      </c>
    </row>
    <row r="9" spans="1:7" ht="25.5" x14ac:dyDescent="0.2">
      <c r="A9" s="226" t="s">
        <v>155</v>
      </c>
      <c r="B9" s="215" t="s">
        <v>358</v>
      </c>
      <c r="C9" s="216" t="s">
        <v>359</v>
      </c>
      <c r="D9" s="217">
        <v>3453561</v>
      </c>
      <c r="E9" s="217">
        <v>0</v>
      </c>
      <c r="F9" s="217">
        <v>11926464</v>
      </c>
    </row>
    <row r="10" spans="1:7" x14ac:dyDescent="0.2">
      <c r="A10" s="226" t="s">
        <v>156</v>
      </c>
      <c r="B10" s="215" t="s">
        <v>360</v>
      </c>
      <c r="C10" s="216" t="s">
        <v>361</v>
      </c>
      <c r="D10" s="217">
        <v>0</v>
      </c>
      <c r="E10" s="217">
        <v>0</v>
      </c>
      <c r="F10" s="217">
        <v>4</v>
      </c>
    </row>
    <row r="11" spans="1:7" ht="25.5" x14ac:dyDescent="0.2">
      <c r="A11" s="226" t="s">
        <v>157</v>
      </c>
      <c r="B11" s="218" t="s">
        <v>362</v>
      </c>
      <c r="C11" s="219" t="s">
        <v>363</v>
      </c>
      <c r="D11" s="220">
        <v>130988920</v>
      </c>
      <c r="E11" s="220">
        <v>0</v>
      </c>
      <c r="F11" s="220">
        <v>148567841</v>
      </c>
    </row>
    <row r="12" spans="1:7" x14ac:dyDescent="0.2">
      <c r="A12" s="226" t="s">
        <v>158</v>
      </c>
      <c r="B12" s="215" t="s">
        <v>364</v>
      </c>
      <c r="C12" s="216" t="s">
        <v>365</v>
      </c>
      <c r="D12" s="217">
        <v>1952220</v>
      </c>
      <c r="E12" s="217">
        <v>0</v>
      </c>
      <c r="F12" s="217">
        <v>2062152</v>
      </c>
    </row>
    <row r="13" spans="1:7" x14ac:dyDescent="0.2">
      <c r="A13" s="226" t="s">
        <v>159</v>
      </c>
      <c r="B13" s="215" t="s">
        <v>366</v>
      </c>
      <c r="C13" s="216" t="s">
        <v>367</v>
      </c>
      <c r="D13" s="217">
        <v>10608639</v>
      </c>
      <c r="E13" s="217">
        <v>0</v>
      </c>
      <c r="F13" s="217">
        <v>11921706</v>
      </c>
    </row>
    <row r="14" spans="1:7" x14ac:dyDescent="0.2">
      <c r="A14" s="226" t="s">
        <v>160</v>
      </c>
      <c r="B14" s="218" t="s">
        <v>353</v>
      </c>
      <c r="C14" s="219" t="s">
        <v>368</v>
      </c>
      <c r="D14" s="220">
        <v>12560859</v>
      </c>
      <c r="E14" s="220">
        <v>0</v>
      </c>
      <c r="F14" s="220">
        <v>13983858</v>
      </c>
    </row>
    <row r="15" spans="1:7" x14ac:dyDescent="0.2">
      <c r="A15" s="226" t="s">
        <v>161</v>
      </c>
      <c r="B15" s="215" t="s">
        <v>369</v>
      </c>
      <c r="C15" s="216" t="s">
        <v>370</v>
      </c>
      <c r="D15" s="217">
        <v>90533311</v>
      </c>
      <c r="E15" s="217">
        <v>0</v>
      </c>
      <c r="F15" s="217">
        <v>105038877</v>
      </c>
    </row>
    <row r="16" spans="1:7" x14ac:dyDescent="0.2">
      <c r="A16" s="226" t="s">
        <v>162</v>
      </c>
      <c r="B16" s="215" t="s">
        <v>371</v>
      </c>
      <c r="C16" s="216" t="s">
        <v>372</v>
      </c>
      <c r="D16" s="217">
        <v>8557156</v>
      </c>
      <c r="E16" s="217">
        <v>0</v>
      </c>
      <c r="F16" s="217">
        <v>18234051</v>
      </c>
    </row>
    <row r="17" spans="1:6" x14ac:dyDescent="0.2">
      <c r="A17" s="226" t="s">
        <v>163</v>
      </c>
      <c r="B17" s="215" t="s">
        <v>373</v>
      </c>
      <c r="C17" s="216" t="s">
        <v>374</v>
      </c>
      <c r="D17" s="217">
        <v>15164794</v>
      </c>
      <c r="E17" s="217">
        <v>0</v>
      </c>
      <c r="F17" s="217">
        <v>16914749</v>
      </c>
    </row>
    <row r="18" spans="1:6" x14ac:dyDescent="0.2">
      <c r="A18" s="226" t="s">
        <v>164</v>
      </c>
      <c r="B18" s="218" t="s">
        <v>375</v>
      </c>
      <c r="C18" s="219" t="s">
        <v>376</v>
      </c>
      <c r="D18" s="220">
        <v>114255261</v>
      </c>
      <c r="E18" s="220">
        <v>0</v>
      </c>
      <c r="F18" s="220">
        <v>140187677</v>
      </c>
    </row>
    <row r="19" spans="1:6" x14ac:dyDescent="0.2">
      <c r="A19" s="226" t="s">
        <v>165</v>
      </c>
      <c r="B19" s="218" t="s">
        <v>377</v>
      </c>
      <c r="C19" s="219" t="s">
        <v>378</v>
      </c>
      <c r="D19" s="220">
        <v>106580</v>
      </c>
      <c r="E19" s="220">
        <v>0</v>
      </c>
      <c r="F19" s="220">
        <v>97858</v>
      </c>
    </row>
    <row r="20" spans="1:6" x14ac:dyDescent="0.2">
      <c r="A20" s="226" t="s">
        <v>175</v>
      </c>
      <c r="B20" s="218" t="s">
        <v>379</v>
      </c>
      <c r="C20" s="219" t="s">
        <v>380</v>
      </c>
      <c r="D20" s="220">
        <v>2821209</v>
      </c>
      <c r="E20" s="220">
        <v>0</v>
      </c>
      <c r="F20" s="220">
        <v>3439550</v>
      </c>
    </row>
    <row r="21" spans="1:6" ht="25.5" x14ac:dyDescent="0.2">
      <c r="A21" s="226" t="s">
        <v>176</v>
      </c>
      <c r="B21" s="218" t="s">
        <v>381</v>
      </c>
      <c r="C21" s="219" t="s">
        <v>382</v>
      </c>
      <c r="D21" s="220">
        <v>1245011</v>
      </c>
      <c r="E21" s="220">
        <v>0</v>
      </c>
      <c r="F21" s="220">
        <v>-9141102</v>
      </c>
    </row>
    <row r="22" spans="1:6" ht="25.5" x14ac:dyDescent="0.2">
      <c r="A22" s="226" t="s">
        <v>177</v>
      </c>
      <c r="B22" s="215" t="s">
        <v>383</v>
      </c>
      <c r="C22" s="216" t="s">
        <v>384</v>
      </c>
      <c r="D22" s="217">
        <v>11</v>
      </c>
      <c r="E22" s="217">
        <v>0</v>
      </c>
      <c r="F22" s="217">
        <v>9</v>
      </c>
    </row>
    <row r="23" spans="1:6" ht="25.5" x14ac:dyDescent="0.2">
      <c r="A23" s="226" t="s">
        <v>178</v>
      </c>
      <c r="B23" s="218" t="s">
        <v>385</v>
      </c>
      <c r="C23" s="219" t="s">
        <v>386</v>
      </c>
      <c r="D23" s="220">
        <v>11</v>
      </c>
      <c r="E23" s="220">
        <v>0</v>
      </c>
      <c r="F23" s="220">
        <v>9</v>
      </c>
    </row>
    <row r="24" spans="1:6" x14ac:dyDescent="0.2">
      <c r="A24" s="226" t="s">
        <v>179</v>
      </c>
      <c r="B24" s="218" t="s">
        <v>387</v>
      </c>
      <c r="C24" s="219" t="s">
        <v>388</v>
      </c>
      <c r="D24" s="220">
        <v>11</v>
      </c>
      <c r="E24" s="220">
        <v>0</v>
      </c>
      <c r="F24" s="220">
        <v>9</v>
      </c>
    </row>
    <row r="25" spans="1:6" x14ac:dyDescent="0.2">
      <c r="A25" s="226" t="s">
        <v>180</v>
      </c>
      <c r="B25" s="218" t="s">
        <v>389</v>
      </c>
      <c r="C25" s="219" t="s">
        <v>390</v>
      </c>
      <c r="D25" s="220">
        <v>1245022</v>
      </c>
      <c r="E25" s="220">
        <v>0</v>
      </c>
      <c r="F25" s="220">
        <v>-9141093</v>
      </c>
    </row>
  </sheetData>
  <mergeCells count="3">
    <mergeCell ref="B5:F5"/>
    <mergeCell ref="A1:F1"/>
    <mergeCell ref="A2:F2"/>
  </mergeCells>
  <pageMargins left="0.7" right="0.7" top="0.75" bottom="0.75" header="0.3" footer="0.3"/>
  <pageSetup paperSize="9" scale="76" orientation="portrait" r:id="rId1"/>
  <headerFooter>
    <oddHeader>&amp;RÉrték típus: Forint</oddHeader>
    <oddFooter>&amp;LAdatellenőrző kód: 2f-36-1054-7d-7312-7d43-4d3949-1e-1874796750692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zoomScale="80" zoomScaleNormal="80" zoomScaleSheetLayoutView="80" workbookViewId="0">
      <selection activeCell="D14" sqref="D14"/>
    </sheetView>
  </sheetViews>
  <sheetFormatPr defaultColWidth="8.75" defaultRowHeight="12.75" x14ac:dyDescent="0.2"/>
  <cols>
    <col min="1" max="1" width="4.625" style="223" customWidth="1"/>
    <col min="2" max="2" width="7.375" style="212" customWidth="1"/>
    <col min="3" max="3" width="35.625" style="212" customWidth="1"/>
    <col min="4" max="4" width="19.25" style="212" customWidth="1"/>
    <col min="5" max="5" width="19" style="212" customWidth="1"/>
    <col min="6" max="6" width="18.25" style="212" customWidth="1"/>
    <col min="7" max="7" width="19.5" style="212" customWidth="1"/>
    <col min="8" max="8" width="17.125" style="212" customWidth="1"/>
    <col min="9" max="9" width="17.25" style="212" customWidth="1"/>
    <col min="10" max="10" width="16.25" style="212" customWidth="1"/>
    <col min="11" max="11" width="14.75" style="212" customWidth="1"/>
    <col min="12" max="12" width="15.25" style="212" customWidth="1"/>
    <col min="13" max="13" width="13.125" style="212" customWidth="1"/>
    <col min="14" max="16384" width="8.75" style="212"/>
  </cols>
  <sheetData>
    <row r="1" spans="1:14" s="213" customFormat="1" ht="15.75" x14ac:dyDescent="0.25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43"/>
      <c r="M1" s="243"/>
    </row>
    <row r="2" spans="1:14" s="213" customFormat="1" ht="33" customHeight="1" x14ac:dyDescent="0.25">
      <c r="A2" s="272" t="s">
        <v>415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43"/>
      <c r="M2" s="243"/>
    </row>
    <row r="3" spans="1:14" s="213" customFormat="1" ht="33" customHeight="1" x14ac:dyDescent="0.25">
      <c r="A3" s="228" t="s">
        <v>174</v>
      </c>
      <c r="B3" s="229" t="s">
        <v>166</v>
      </c>
      <c r="C3" s="229" t="s">
        <v>167</v>
      </c>
      <c r="D3" s="229" t="s">
        <v>168</v>
      </c>
      <c r="E3" s="229" t="s">
        <v>169</v>
      </c>
      <c r="F3" s="229" t="s">
        <v>170</v>
      </c>
      <c r="G3" s="229" t="s">
        <v>197</v>
      </c>
      <c r="H3" s="229" t="s">
        <v>198</v>
      </c>
      <c r="I3" s="229" t="s">
        <v>273</v>
      </c>
      <c r="J3" s="229" t="s">
        <v>274</v>
      </c>
      <c r="K3" s="229" t="s">
        <v>412</v>
      </c>
      <c r="L3" s="229" t="s">
        <v>413</v>
      </c>
      <c r="M3" s="229" t="s">
        <v>414</v>
      </c>
      <c r="N3" s="149"/>
    </row>
    <row r="4" spans="1:14" ht="27" customHeight="1" x14ac:dyDescent="0.2">
      <c r="A4" s="226" t="s">
        <v>151</v>
      </c>
      <c r="B4" s="265" t="s">
        <v>393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</row>
    <row r="5" spans="1:14" ht="67.150000000000006" customHeight="1" x14ac:dyDescent="0.2">
      <c r="A5" s="231" t="s">
        <v>152</v>
      </c>
      <c r="B5" s="214" t="s">
        <v>278</v>
      </c>
      <c r="C5" s="214" t="s">
        <v>1</v>
      </c>
      <c r="D5" s="214" t="s">
        <v>394</v>
      </c>
      <c r="E5" s="214" t="s">
        <v>50</v>
      </c>
      <c r="F5" s="214" t="s">
        <v>395</v>
      </c>
      <c r="G5" s="214" t="s">
        <v>396</v>
      </c>
      <c r="H5" s="214" t="s">
        <v>397</v>
      </c>
      <c r="I5" s="214" t="s">
        <v>398</v>
      </c>
      <c r="J5" s="214" t="s">
        <v>399</v>
      </c>
      <c r="K5" s="214" t="s">
        <v>400</v>
      </c>
      <c r="L5" s="214" t="s">
        <v>56</v>
      </c>
      <c r="M5" s="214" t="s">
        <v>401</v>
      </c>
    </row>
    <row r="6" spans="1:14" ht="25.9" customHeight="1" x14ac:dyDescent="0.2">
      <c r="A6" s="226" t="s">
        <v>153</v>
      </c>
      <c r="B6" s="214">
        <v>1</v>
      </c>
      <c r="C6" s="214">
        <v>2</v>
      </c>
      <c r="D6" s="214">
        <v>3</v>
      </c>
      <c r="E6" s="214">
        <v>4</v>
      </c>
      <c r="F6" s="214">
        <v>5</v>
      </c>
      <c r="G6" s="214">
        <v>6</v>
      </c>
      <c r="H6" s="214">
        <v>7</v>
      </c>
      <c r="I6" s="214">
        <v>8</v>
      </c>
      <c r="J6" s="214">
        <v>9</v>
      </c>
      <c r="K6" s="214">
        <v>10</v>
      </c>
      <c r="L6" s="214">
        <v>11</v>
      </c>
      <c r="M6" s="214">
        <v>12</v>
      </c>
    </row>
    <row r="7" spans="1:14" ht="29.45" customHeight="1" x14ac:dyDescent="0.2">
      <c r="A7" s="226" t="s">
        <v>154</v>
      </c>
      <c r="B7" s="215" t="s">
        <v>356</v>
      </c>
      <c r="C7" s="216" t="s">
        <v>402</v>
      </c>
      <c r="D7" s="217">
        <v>1</v>
      </c>
      <c r="E7" s="217">
        <v>8172927</v>
      </c>
      <c r="F7" s="217">
        <v>483654</v>
      </c>
      <c r="G7" s="217">
        <v>0</v>
      </c>
      <c r="H7" s="217">
        <v>0</v>
      </c>
      <c r="I7" s="217">
        <v>300000</v>
      </c>
      <c r="J7" s="217">
        <v>51120</v>
      </c>
      <c r="K7" s="217">
        <v>0</v>
      </c>
      <c r="L7" s="217">
        <v>1082812</v>
      </c>
      <c r="M7" s="217">
        <v>0</v>
      </c>
    </row>
    <row r="8" spans="1:14" x14ac:dyDescent="0.2">
      <c r="A8" s="226" t="s">
        <v>155</v>
      </c>
      <c r="B8" s="215" t="s">
        <v>403</v>
      </c>
      <c r="C8" s="216" t="s">
        <v>404</v>
      </c>
      <c r="D8" s="217">
        <v>10</v>
      </c>
      <c r="E8" s="217">
        <v>46026770</v>
      </c>
      <c r="F8" s="217">
        <v>2483000</v>
      </c>
      <c r="G8" s="217">
        <v>0</v>
      </c>
      <c r="H8" s="217">
        <v>0</v>
      </c>
      <c r="I8" s="217">
        <v>3000000</v>
      </c>
      <c r="J8" s="217">
        <v>656748</v>
      </c>
      <c r="K8" s="217">
        <v>0</v>
      </c>
      <c r="L8" s="217">
        <v>776891</v>
      </c>
      <c r="M8" s="217">
        <v>0</v>
      </c>
    </row>
    <row r="9" spans="1:14" x14ac:dyDescent="0.2">
      <c r="A9" s="226" t="s">
        <v>156</v>
      </c>
      <c r="B9" s="215" t="s">
        <v>353</v>
      </c>
      <c r="C9" s="216" t="s">
        <v>405</v>
      </c>
      <c r="D9" s="217">
        <v>9</v>
      </c>
      <c r="E9" s="217">
        <v>35925362</v>
      </c>
      <c r="F9" s="217">
        <v>2525752</v>
      </c>
      <c r="G9" s="217">
        <v>174000</v>
      </c>
      <c r="H9" s="217">
        <v>149946</v>
      </c>
      <c r="I9" s="217">
        <v>2952328</v>
      </c>
      <c r="J9" s="217">
        <v>466530</v>
      </c>
      <c r="K9" s="217">
        <v>0</v>
      </c>
      <c r="L9" s="217">
        <v>405151</v>
      </c>
      <c r="M9" s="217">
        <v>0</v>
      </c>
    </row>
    <row r="10" spans="1:14" x14ac:dyDescent="0.2">
      <c r="A10" s="226" t="s">
        <v>157</v>
      </c>
      <c r="B10" s="215" t="s">
        <v>369</v>
      </c>
      <c r="C10" s="216" t="s">
        <v>406</v>
      </c>
      <c r="D10" s="217">
        <v>2</v>
      </c>
      <c r="E10" s="217">
        <v>7349119</v>
      </c>
      <c r="F10" s="217">
        <v>420000</v>
      </c>
      <c r="G10" s="217">
        <v>0</v>
      </c>
      <c r="H10" s="217">
        <v>0</v>
      </c>
      <c r="I10" s="217">
        <v>600000</v>
      </c>
      <c r="J10" s="217">
        <v>52080</v>
      </c>
      <c r="K10" s="217">
        <v>0</v>
      </c>
      <c r="L10" s="217">
        <v>109254</v>
      </c>
      <c r="M10" s="217">
        <v>0</v>
      </c>
    </row>
    <row r="11" spans="1:14" ht="38.25" x14ac:dyDescent="0.2">
      <c r="A11" s="226" t="s">
        <v>158</v>
      </c>
      <c r="B11" s="218" t="s">
        <v>381</v>
      </c>
      <c r="C11" s="219" t="s">
        <v>407</v>
      </c>
      <c r="D11" s="220">
        <v>22</v>
      </c>
      <c r="E11" s="220">
        <v>97474178</v>
      </c>
      <c r="F11" s="220">
        <v>5912406</v>
      </c>
      <c r="G11" s="220">
        <v>174000</v>
      </c>
      <c r="H11" s="220">
        <v>149946</v>
      </c>
      <c r="I11" s="220">
        <v>6852328</v>
      </c>
      <c r="J11" s="220">
        <v>1226478</v>
      </c>
      <c r="K11" s="220">
        <v>0</v>
      </c>
      <c r="L11" s="220">
        <v>2374108</v>
      </c>
      <c r="M11" s="220">
        <v>0</v>
      </c>
    </row>
    <row r="12" spans="1:14" ht="25.5" x14ac:dyDescent="0.2">
      <c r="A12" s="226" t="s">
        <v>159</v>
      </c>
      <c r="B12" s="218" t="s">
        <v>408</v>
      </c>
      <c r="C12" s="219" t="s">
        <v>409</v>
      </c>
      <c r="D12" s="220">
        <v>22</v>
      </c>
      <c r="E12" s="220">
        <v>97474178</v>
      </c>
      <c r="F12" s="220">
        <v>5912406</v>
      </c>
      <c r="G12" s="220">
        <v>174000</v>
      </c>
      <c r="H12" s="220">
        <v>149946</v>
      </c>
      <c r="I12" s="220">
        <v>6852328</v>
      </c>
      <c r="J12" s="220">
        <v>1226478</v>
      </c>
      <c r="K12" s="220">
        <v>0</v>
      </c>
      <c r="L12" s="220">
        <v>2374108</v>
      </c>
      <c r="M12" s="220">
        <v>0</v>
      </c>
    </row>
    <row r="13" spans="1:14" ht="25.5" x14ac:dyDescent="0.2">
      <c r="A13" s="226" t="s">
        <v>160</v>
      </c>
      <c r="B13" s="215" t="s">
        <v>410</v>
      </c>
      <c r="C13" s="216" t="s">
        <v>411</v>
      </c>
      <c r="D13" s="217">
        <v>25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  <c r="M13" s="217">
        <v>0</v>
      </c>
    </row>
  </sheetData>
  <mergeCells count="3">
    <mergeCell ref="B4:M4"/>
    <mergeCell ref="A1:M1"/>
    <mergeCell ref="A2:M2"/>
  </mergeCells>
  <pageMargins left="0.7" right="0.7" top="0.75" bottom="0.75" header="0.3" footer="0.3"/>
  <pageSetup paperSize="9" scale="51" orientation="landscape" r:id="rId1"/>
  <headerFooter>
    <oddHeader>&amp;RÉrték típus: Fő</oddHeader>
    <oddFooter>&amp;LAdatellenőrző kód: 2f-36-1054-7d-7312-7d43-4d3949-1e-1874796750692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="70" zoomScaleNormal="70" zoomScaleSheetLayoutView="70" workbookViewId="0">
      <pane ySplit="6" topLeftCell="A7" activePane="bottomLeft" state="frozen"/>
      <selection pane="bottomLeft" activeCell="A4" sqref="A4"/>
    </sheetView>
  </sheetViews>
  <sheetFormatPr defaultColWidth="8.75" defaultRowHeight="12.75" x14ac:dyDescent="0.2"/>
  <cols>
    <col min="1" max="1" width="7.25" style="232" customWidth="1"/>
    <col min="2" max="2" width="6.25" style="212" customWidth="1"/>
    <col min="3" max="3" width="36.875" style="212" customWidth="1"/>
    <col min="4" max="10" width="22.75" style="212" customWidth="1"/>
    <col min="11" max="16384" width="8.75" style="212"/>
  </cols>
  <sheetData>
    <row r="1" spans="1:10" s="213" customFormat="1" ht="25.15" customHeight="1" x14ac:dyDescent="0.25">
      <c r="A1" s="269" t="s">
        <v>0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s="213" customFormat="1" ht="27.6" customHeight="1" x14ac:dyDescent="0.25">
      <c r="A2" s="272" t="s">
        <v>484</v>
      </c>
      <c r="B2" s="243"/>
      <c r="C2" s="243"/>
      <c r="D2" s="243"/>
      <c r="E2" s="243"/>
      <c r="F2" s="243"/>
      <c r="G2" s="243"/>
      <c r="H2" s="243"/>
      <c r="I2" s="243"/>
      <c r="J2" s="243"/>
    </row>
    <row r="4" spans="1:10" s="222" customFormat="1" ht="21" customHeight="1" x14ac:dyDescent="0.25">
      <c r="A4" s="233" t="s">
        <v>150</v>
      </c>
      <c r="B4" s="234" t="s">
        <v>166</v>
      </c>
      <c r="C4" s="234" t="s">
        <v>167</v>
      </c>
      <c r="D4" s="234" t="s">
        <v>168</v>
      </c>
      <c r="E4" s="234" t="s">
        <v>169</v>
      </c>
      <c r="F4" s="234" t="s">
        <v>170</v>
      </c>
      <c r="G4" s="234" t="s">
        <v>197</v>
      </c>
      <c r="H4" s="234" t="s">
        <v>198</v>
      </c>
      <c r="I4" s="234" t="s">
        <v>273</v>
      </c>
      <c r="J4" s="234" t="s">
        <v>274</v>
      </c>
    </row>
    <row r="5" spans="1:10" ht="33.6" customHeight="1" x14ac:dyDescent="0.2">
      <c r="A5" s="234" t="s">
        <v>151</v>
      </c>
      <c r="B5" s="265" t="s">
        <v>416</v>
      </c>
      <c r="C5" s="266"/>
      <c r="D5" s="266"/>
      <c r="E5" s="266"/>
      <c r="F5" s="266"/>
      <c r="G5" s="266"/>
      <c r="H5" s="266"/>
      <c r="I5" s="266"/>
      <c r="J5" s="266"/>
    </row>
    <row r="6" spans="1:10" ht="99.6" customHeight="1" x14ac:dyDescent="0.2">
      <c r="A6" s="234" t="s">
        <v>152</v>
      </c>
      <c r="B6" s="214" t="s">
        <v>278</v>
      </c>
      <c r="C6" s="214" t="s">
        <v>1</v>
      </c>
      <c r="D6" s="214" t="s">
        <v>417</v>
      </c>
      <c r="E6" s="214" t="s">
        <v>418</v>
      </c>
      <c r="F6" s="214" t="s">
        <v>171</v>
      </c>
      <c r="G6" s="214" t="s">
        <v>419</v>
      </c>
      <c r="H6" s="214" t="s">
        <v>420</v>
      </c>
      <c r="I6" s="214" t="s">
        <v>421</v>
      </c>
      <c r="J6" s="214" t="s">
        <v>422</v>
      </c>
    </row>
    <row r="7" spans="1:10" x14ac:dyDescent="0.2">
      <c r="A7" s="234" t="s">
        <v>153</v>
      </c>
      <c r="B7" s="215" t="s">
        <v>340</v>
      </c>
      <c r="C7" s="216" t="s">
        <v>423</v>
      </c>
      <c r="D7" s="217">
        <v>97474178</v>
      </c>
      <c r="E7" s="217">
        <v>97474178</v>
      </c>
      <c r="F7" s="217">
        <v>0</v>
      </c>
      <c r="G7" s="217">
        <v>0</v>
      </c>
      <c r="H7" s="217">
        <v>0</v>
      </c>
      <c r="I7" s="217">
        <v>0</v>
      </c>
      <c r="J7" s="217">
        <v>0</v>
      </c>
    </row>
    <row r="8" spans="1:10" x14ac:dyDescent="0.2">
      <c r="A8" s="234" t="s">
        <v>154</v>
      </c>
      <c r="B8" s="215" t="s">
        <v>342</v>
      </c>
      <c r="C8" s="216" t="s">
        <v>424</v>
      </c>
      <c r="D8" s="217">
        <v>5912406</v>
      </c>
      <c r="E8" s="217">
        <v>5912406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</row>
    <row r="9" spans="1:10" ht="25.5" x14ac:dyDescent="0.2">
      <c r="A9" s="234" t="s">
        <v>155</v>
      </c>
      <c r="B9" s="215" t="s">
        <v>346</v>
      </c>
      <c r="C9" s="216" t="s">
        <v>425</v>
      </c>
      <c r="D9" s="217">
        <v>174000</v>
      </c>
      <c r="E9" s="217">
        <v>174000</v>
      </c>
      <c r="F9" s="217">
        <v>0</v>
      </c>
      <c r="G9" s="217">
        <v>0</v>
      </c>
      <c r="H9" s="217">
        <v>0</v>
      </c>
      <c r="I9" s="217">
        <v>0</v>
      </c>
      <c r="J9" s="217">
        <v>0</v>
      </c>
    </row>
    <row r="10" spans="1:10" x14ac:dyDescent="0.2">
      <c r="A10" s="234" t="s">
        <v>156</v>
      </c>
      <c r="B10" s="215" t="s">
        <v>282</v>
      </c>
      <c r="C10" s="216" t="s">
        <v>426</v>
      </c>
      <c r="D10" s="217">
        <v>149946</v>
      </c>
      <c r="E10" s="217">
        <v>149946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</row>
    <row r="11" spans="1:10" x14ac:dyDescent="0.2">
      <c r="A11" s="234" t="s">
        <v>157</v>
      </c>
      <c r="B11" s="215" t="s">
        <v>349</v>
      </c>
      <c r="C11" s="216" t="s">
        <v>427</v>
      </c>
      <c r="D11" s="217">
        <v>6852328</v>
      </c>
      <c r="E11" s="217">
        <v>6852328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</row>
    <row r="12" spans="1:10" x14ac:dyDescent="0.2">
      <c r="A12" s="234" t="s">
        <v>158</v>
      </c>
      <c r="B12" s="215" t="s">
        <v>358</v>
      </c>
      <c r="C12" s="216" t="s">
        <v>428</v>
      </c>
      <c r="D12" s="217">
        <v>1226478</v>
      </c>
      <c r="E12" s="217">
        <v>1226478</v>
      </c>
      <c r="F12" s="217">
        <v>0</v>
      </c>
      <c r="G12" s="217">
        <v>0</v>
      </c>
      <c r="H12" s="217">
        <v>0</v>
      </c>
      <c r="I12" s="217">
        <v>0</v>
      </c>
      <c r="J12" s="217">
        <v>0</v>
      </c>
    </row>
    <row r="13" spans="1:10" ht="25.5" x14ac:dyDescent="0.2">
      <c r="A13" s="234" t="s">
        <v>159</v>
      </c>
      <c r="B13" s="215" t="s">
        <v>364</v>
      </c>
      <c r="C13" s="216" t="s">
        <v>429</v>
      </c>
      <c r="D13" s="217">
        <v>2374108</v>
      </c>
      <c r="E13" s="217">
        <v>2374108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</row>
    <row r="14" spans="1:10" ht="25.5" x14ac:dyDescent="0.2">
      <c r="A14" s="234" t="s">
        <v>160</v>
      </c>
      <c r="B14" s="215" t="s">
        <v>351</v>
      </c>
      <c r="C14" s="216" t="s">
        <v>430</v>
      </c>
      <c r="D14" s="217">
        <v>114163444</v>
      </c>
      <c r="E14" s="217">
        <v>114163444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</row>
    <row r="15" spans="1:10" ht="25.5" x14ac:dyDescent="0.2">
      <c r="A15" s="234" t="s">
        <v>161</v>
      </c>
      <c r="B15" s="215" t="s">
        <v>353</v>
      </c>
      <c r="C15" s="216" t="s">
        <v>431</v>
      </c>
      <c r="D15" s="217">
        <v>2902331</v>
      </c>
      <c r="E15" s="217">
        <v>0</v>
      </c>
      <c r="F15" s="217">
        <v>1222331</v>
      </c>
      <c r="G15" s="217">
        <v>1680000</v>
      </c>
      <c r="H15" s="217">
        <v>0</v>
      </c>
      <c r="I15" s="217">
        <v>0</v>
      </c>
      <c r="J15" s="217">
        <v>0</v>
      </c>
    </row>
    <row r="16" spans="1:10" x14ac:dyDescent="0.2">
      <c r="A16" s="234" t="s">
        <v>162</v>
      </c>
      <c r="B16" s="215" t="s">
        <v>369</v>
      </c>
      <c r="C16" s="216" t="s">
        <v>432</v>
      </c>
      <c r="D16" s="217">
        <v>3797393</v>
      </c>
      <c r="E16" s="217">
        <v>18257</v>
      </c>
      <c r="F16" s="217">
        <v>1381775</v>
      </c>
      <c r="G16" s="217">
        <v>2397361</v>
      </c>
      <c r="H16" s="217">
        <v>0</v>
      </c>
      <c r="I16" s="217">
        <v>0</v>
      </c>
      <c r="J16" s="217">
        <v>0</v>
      </c>
    </row>
    <row r="17" spans="1:10" x14ac:dyDescent="0.2">
      <c r="A17" s="234" t="s">
        <v>163</v>
      </c>
      <c r="B17" s="215" t="s">
        <v>371</v>
      </c>
      <c r="C17" s="216" t="s">
        <v>433</v>
      </c>
      <c r="D17" s="217">
        <v>6699724</v>
      </c>
      <c r="E17" s="217">
        <v>18257</v>
      </c>
      <c r="F17" s="217">
        <v>2604106</v>
      </c>
      <c r="G17" s="217">
        <v>4077361</v>
      </c>
      <c r="H17" s="217">
        <v>0</v>
      </c>
      <c r="I17" s="217">
        <v>0</v>
      </c>
      <c r="J17" s="217">
        <v>0</v>
      </c>
    </row>
    <row r="18" spans="1:10" x14ac:dyDescent="0.2">
      <c r="A18" s="234" t="s">
        <v>164</v>
      </c>
      <c r="B18" s="218" t="s">
        <v>373</v>
      </c>
      <c r="C18" s="219" t="s">
        <v>434</v>
      </c>
      <c r="D18" s="220">
        <v>120863168</v>
      </c>
      <c r="E18" s="220">
        <v>114181701</v>
      </c>
      <c r="F18" s="220">
        <v>2604106</v>
      </c>
      <c r="G18" s="220">
        <v>4077361</v>
      </c>
      <c r="H18" s="220">
        <v>0</v>
      </c>
      <c r="I18" s="220">
        <v>0</v>
      </c>
      <c r="J18" s="220">
        <v>0</v>
      </c>
    </row>
    <row r="19" spans="1:10" ht="25.5" x14ac:dyDescent="0.2">
      <c r="A19" s="234" t="s">
        <v>165</v>
      </c>
      <c r="B19" s="218" t="s">
        <v>375</v>
      </c>
      <c r="C19" s="219" t="s">
        <v>435</v>
      </c>
      <c r="D19" s="220">
        <v>16662379</v>
      </c>
      <c r="E19" s="220">
        <v>16039383</v>
      </c>
      <c r="F19" s="220">
        <v>0</v>
      </c>
      <c r="G19" s="220">
        <v>622996</v>
      </c>
      <c r="H19" s="220">
        <v>0</v>
      </c>
      <c r="I19" s="220">
        <v>0</v>
      </c>
      <c r="J19" s="220">
        <v>0</v>
      </c>
    </row>
    <row r="20" spans="1:10" x14ac:dyDescent="0.2">
      <c r="A20" s="234" t="s">
        <v>175</v>
      </c>
      <c r="B20" s="215" t="s">
        <v>377</v>
      </c>
      <c r="C20" s="216" t="s">
        <v>436</v>
      </c>
      <c r="D20" s="217">
        <v>15540465</v>
      </c>
      <c r="E20" s="217">
        <v>15006632</v>
      </c>
      <c r="F20" s="217">
        <v>0</v>
      </c>
      <c r="G20" s="217">
        <v>533833</v>
      </c>
      <c r="H20" s="217">
        <v>0</v>
      </c>
      <c r="I20" s="217">
        <v>0</v>
      </c>
      <c r="J20" s="217">
        <v>0</v>
      </c>
    </row>
    <row r="21" spans="1:10" ht="25.5" x14ac:dyDescent="0.2">
      <c r="A21" s="234" t="s">
        <v>176</v>
      </c>
      <c r="B21" s="215" t="s">
        <v>437</v>
      </c>
      <c r="C21" s="216" t="s">
        <v>438</v>
      </c>
      <c r="D21" s="217">
        <v>1121914</v>
      </c>
      <c r="E21" s="217">
        <v>1032751</v>
      </c>
      <c r="F21" s="217">
        <v>0</v>
      </c>
      <c r="G21" s="217">
        <v>89163</v>
      </c>
      <c r="H21" s="217">
        <v>0</v>
      </c>
      <c r="I21" s="217">
        <v>0</v>
      </c>
      <c r="J21" s="217">
        <v>0</v>
      </c>
    </row>
    <row r="22" spans="1:10" x14ac:dyDescent="0.2">
      <c r="A22" s="234" t="s">
        <v>177</v>
      </c>
      <c r="B22" s="215" t="s">
        <v>383</v>
      </c>
      <c r="C22" s="216" t="s">
        <v>439</v>
      </c>
      <c r="D22" s="217">
        <v>78108</v>
      </c>
      <c r="E22" s="217">
        <v>78108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</row>
    <row r="23" spans="1:10" x14ac:dyDescent="0.2">
      <c r="A23" s="234" t="s">
        <v>178</v>
      </c>
      <c r="B23" s="215" t="s">
        <v>286</v>
      </c>
      <c r="C23" s="216" t="s">
        <v>440</v>
      </c>
      <c r="D23" s="217">
        <v>1984044</v>
      </c>
      <c r="E23" s="217">
        <v>1700594</v>
      </c>
      <c r="F23" s="217">
        <v>157480</v>
      </c>
      <c r="G23" s="217">
        <v>125970</v>
      </c>
      <c r="H23" s="217">
        <v>0</v>
      </c>
      <c r="I23" s="217">
        <v>0</v>
      </c>
      <c r="J23" s="217">
        <v>0</v>
      </c>
    </row>
    <row r="24" spans="1:10" x14ac:dyDescent="0.2">
      <c r="A24" s="234" t="s">
        <v>179</v>
      </c>
      <c r="B24" s="215" t="s">
        <v>441</v>
      </c>
      <c r="C24" s="216" t="s">
        <v>442</v>
      </c>
      <c r="D24" s="217">
        <v>2062152</v>
      </c>
      <c r="E24" s="217">
        <v>1778702</v>
      </c>
      <c r="F24" s="217">
        <v>157480</v>
      </c>
      <c r="G24" s="217">
        <v>125970</v>
      </c>
      <c r="H24" s="217">
        <v>0</v>
      </c>
      <c r="I24" s="217">
        <v>0</v>
      </c>
      <c r="J24" s="217">
        <v>0</v>
      </c>
    </row>
    <row r="25" spans="1:10" x14ac:dyDescent="0.2">
      <c r="A25" s="234" t="s">
        <v>180</v>
      </c>
      <c r="B25" s="215" t="s">
        <v>385</v>
      </c>
      <c r="C25" s="216" t="s">
        <v>443</v>
      </c>
      <c r="D25" s="217">
        <v>1500523</v>
      </c>
      <c r="E25" s="217">
        <v>1500523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</row>
    <row r="26" spans="1:10" x14ac:dyDescent="0.2">
      <c r="A26" s="234" t="s">
        <v>181</v>
      </c>
      <c r="B26" s="215" t="s">
        <v>444</v>
      </c>
      <c r="C26" s="216" t="s">
        <v>445</v>
      </c>
      <c r="D26" s="217">
        <v>90229</v>
      </c>
      <c r="E26" s="217">
        <v>90229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</row>
    <row r="27" spans="1:10" x14ac:dyDescent="0.2">
      <c r="A27" s="234" t="s">
        <v>182</v>
      </c>
      <c r="B27" s="215" t="s">
        <v>446</v>
      </c>
      <c r="C27" s="216" t="s">
        <v>447</v>
      </c>
      <c r="D27" s="217">
        <v>1590752</v>
      </c>
      <c r="E27" s="217">
        <v>1590752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</row>
    <row r="28" spans="1:10" x14ac:dyDescent="0.2">
      <c r="A28" s="234" t="s">
        <v>183</v>
      </c>
      <c r="B28" s="215" t="s">
        <v>448</v>
      </c>
      <c r="C28" s="216" t="s">
        <v>449</v>
      </c>
      <c r="D28" s="217">
        <v>141182</v>
      </c>
      <c r="E28" s="217">
        <v>113716</v>
      </c>
      <c r="F28" s="217">
        <v>0</v>
      </c>
      <c r="G28" s="217">
        <v>27466</v>
      </c>
      <c r="H28" s="217">
        <v>0</v>
      </c>
      <c r="I28" s="217">
        <v>0</v>
      </c>
      <c r="J28" s="217">
        <v>0</v>
      </c>
    </row>
    <row r="29" spans="1:10" ht="25.5" x14ac:dyDescent="0.2">
      <c r="A29" s="234" t="s">
        <v>184</v>
      </c>
      <c r="B29" s="215" t="s">
        <v>450</v>
      </c>
      <c r="C29" s="216" t="s">
        <v>451</v>
      </c>
      <c r="D29" s="217">
        <v>1600000</v>
      </c>
      <c r="E29" s="217">
        <v>1600000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</row>
    <row r="30" spans="1:10" x14ac:dyDescent="0.2">
      <c r="A30" s="234" t="s">
        <v>185</v>
      </c>
      <c r="B30" s="215" t="s">
        <v>387</v>
      </c>
      <c r="C30" s="216" t="s">
        <v>452</v>
      </c>
      <c r="D30" s="217">
        <v>8085102</v>
      </c>
      <c r="E30" s="217">
        <v>8053302</v>
      </c>
      <c r="F30" s="217">
        <v>0</v>
      </c>
      <c r="G30" s="217">
        <v>31800</v>
      </c>
      <c r="H30" s="217">
        <v>0</v>
      </c>
      <c r="I30" s="217">
        <v>0</v>
      </c>
      <c r="J30" s="217">
        <v>0</v>
      </c>
    </row>
    <row r="31" spans="1:10" ht="25.5" x14ac:dyDescent="0.2">
      <c r="A31" s="234" t="s">
        <v>186</v>
      </c>
      <c r="B31" s="215" t="s">
        <v>453</v>
      </c>
      <c r="C31" s="216" t="s">
        <v>454</v>
      </c>
      <c r="D31" s="217">
        <v>9826284</v>
      </c>
      <c r="E31" s="217">
        <v>9767018</v>
      </c>
      <c r="F31" s="217">
        <v>0</v>
      </c>
      <c r="G31" s="217">
        <v>59266</v>
      </c>
      <c r="H31" s="217">
        <v>0</v>
      </c>
      <c r="I31" s="217">
        <v>0</v>
      </c>
      <c r="J31" s="217">
        <v>0</v>
      </c>
    </row>
    <row r="32" spans="1:10" x14ac:dyDescent="0.2">
      <c r="A32" s="234" t="s">
        <v>187</v>
      </c>
      <c r="B32" s="215" t="s">
        <v>455</v>
      </c>
      <c r="C32" s="216" t="s">
        <v>456</v>
      </c>
      <c r="D32" s="217">
        <v>315221</v>
      </c>
      <c r="E32" s="217">
        <v>315221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</row>
    <row r="33" spans="1:10" ht="25.5" x14ac:dyDescent="0.2">
      <c r="A33" s="234" t="s">
        <v>188</v>
      </c>
      <c r="B33" s="215" t="s">
        <v>457</v>
      </c>
      <c r="C33" s="216" t="s">
        <v>458</v>
      </c>
      <c r="D33" s="217">
        <v>315221</v>
      </c>
      <c r="E33" s="217">
        <v>315221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</row>
    <row r="34" spans="1:10" ht="25.5" x14ac:dyDescent="0.2">
      <c r="A34" s="234" t="s">
        <v>189</v>
      </c>
      <c r="B34" s="215" t="s">
        <v>288</v>
      </c>
      <c r="C34" s="216" t="s">
        <v>459</v>
      </c>
      <c r="D34" s="217">
        <v>1214315</v>
      </c>
      <c r="E34" s="217">
        <v>1023976</v>
      </c>
      <c r="F34" s="217">
        <v>42520</v>
      </c>
      <c r="G34" s="217">
        <v>147819</v>
      </c>
      <c r="H34" s="217">
        <v>0</v>
      </c>
      <c r="I34" s="217">
        <v>0</v>
      </c>
      <c r="J34" s="217">
        <v>0</v>
      </c>
    </row>
    <row r="35" spans="1:10" x14ac:dyDescent="0.2">
      <c r="A35" s="234" t="s">
        <v>190</v>
      </c>
      <c r="B35" s="215" t="s">
        <v>460</v>
      </c>
      <c r="C35" s="216" t="s">
        <v>461</v>
      </c>
      <c r="D35" s="217">
        <v>74259</v>
      </c>
      <c r="E35" s="217">
        <v>4</v>
      </c>
      <c r="F35" s="217">
        <v>0</v>
      </c>
      <c r="G35" s="217">
        <v>74255</v>
      </c>
      <c r="H35" s="217">
        <v>0</v>
      </c>
      <c r="I35" s="217">
        <v>0</v>
      </c>
      <c r="J35" s="217">
        <v>0</v>
      </c>
    </row>
    <row r="36" spans="1:10" ht="25.5" x14ac:dyDescent="0.2">
      <c r="A36" s="234" t="s">
        <v>191</v>
      </c>
      <c r="B36" s="215" t="s">
        <v>296</v>
      </c>
      <c r="C36" s="216" t="s">
        <v>462</v>
      </c>
      <c r="D36" s="217">
        <v>1288574</v>
      </c>
      <c r="E36" s="217">
        <v>1023980</v>
      </c>
      <c r="F36" s="217">
        <v>42520</v>
      </c>
      <c r="G36" s="217">
        <v>222074</v>
      </c>
      <c r="H36" s="217">
        <v>0</v>
      </c>
      <c r="I36" s="217">
        <v>0</v>
      </c>
      <c r="J36" s="217">
        <v>0</v>
      </c>
    </row>
    <row r="37" spans="1:10" x14ac:dyDescent="0.2">
      <c r="A37" s="234" t="s">
        <v>192</v>
      </c>
      <c r="B37" s="218" t="s">
        <v>463</v>
      </c>
      <c r="C37" s="219" t="s">
        <v>464</v>
      </c>
      <c r="D37" s="220">
        <v>15082983</v>
      </c>
      <c r="E37" s="220">
        <v>14475673</v>
      </c>
      <c r="F37" s="220">
        <v>200000</v>
      </c>
      <c r="G37" s="220">
        <v>407310</v>
      </c>
      <c r="H37" s="220">
        <v>0</v>
      </c>
      <c r="I37" s="220">
        <v>0</v>
      </c>
      <c r="J37" s="220">
        <v>0</v>
      </c>
    </row>
    <row r="38" spans="1:10" ht="25.5" x14ac:dyDescent="0.2">
      <c r="A38" s="234" t="s">
        <v>193</v>
      </c>
      <c r="B38" s="215" t="s">
        <v>300</v>
      </c>
      <c r="C38" s="216" t="s">
        <v>465</v>
      </c>
      <c r="D38" s="217">
        <v>1531715</v>
      </c>
      <c r="E38" s="217">
        <v>0</v>
      </c>
      <c r="F38" s="217">
        <v>0</v>
      </c>
      <c r="G38" s="217">
        <v>0</v>
      </c>
      <c r="H38" s="217">
        <v>1531715</v>
      </c>
      <c r="I38" s="217">
        <v>0</v>
      </c>
      <c r="J38" s="217">
        <v>0</v>
      </c>
    </row>
    <row r="39" spans="1:10" ht="25.5" x14ac:dyDescent="0.2">
      <c r="A39" s="234" t="s">
        <v>194</v>
      </c>
      <c r="B39" s="215" t="s">
        <v>466</v>
      </c>
      <c r="C39" s="216" t="s">
        <v>467</v>
      </c>
      <c r="D39" s="217">
        <v>1531715</v>
      </c>
      <c r="E39" s="217">
        <v>0</v>
      </c>
      <c r="F39" s="217">
        <v>0</v>
      </c>
      <c r="G39" s="217">
        <v>0</v>
      </c>
      <c r="H39" s="217">
        <v>1531715</v>
      </c>
      <c r="I39" s="217">
        <v>0</v>
      </c>
      <c r="J39" s="217">
        <v>0</v>
      </c>
    </row>
    <row r="40" spans="1:10" ht="38.25" x14ac:dyDescent="0.2">
      <c r="A40" s="234" t="s">
        <v>195</v>
      </c>
      <c r="B40" s="218" t="s">
        <v>468</v>
      </c>
      <c r="C40" s="219" t="s">
        <v>469</v>
      </c>
      <c r="D40" s="220">
        <v>1531715</v>
      </c>
      <c r="E40" s="220">
        <v>0</v>
      </c>
      <c r="F40" s="220">
        <v>0</v>
      </c>
      <c r="G40" s="220">
        <v>0</v>
      </c>
      <c r="H40" s="220">
        <v>1531715</v>
      </c>
      <c r="I40" s="220">
        <v>0</v>
      </c>
      <c r="J40" s="220">
        <v>0</v>
      </c>
    </row>
    <row r="41" spans="1:10" x14ac:dyDescent="0.2">
      <c r="A41" s="234" t="s">
        <v>196</v>
      </c>
      <c r="B41" s="215" t="s">
        <v>470</v>
      </c>
      <c r="C41" s="216" t="s">
        <v>471</v>
      </c>
      <c r="D41" s="217">
        <v>102354</v>
      </c>
      <c r="E41" s="217">
        <v>102354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</row>
    <row r="42" spans="1:10" x14ac:dyDescent="0.2">
      <c r="A42" s="234" t="s">
        <v>199</v>
      </c>
      <c r="B42" s="215" t="s">
        <v>472</v>
      </c>
      <c r="C42" s="216" t="s">
        <v>473</v>
      </c>
      <c r="D42" s="217">
        <v>419870</v>
      </c>
      <c r="E42" s="217">
        <v>35370</v>
      </c>
      <c r="F42" s="217">
        <v>0</v>
      </c>
      <c r="G42" s="217">
        <v>384500</v>
      </c>
      <c r="H42" s="217">
        <v>0</v>
      </c>
      <c r="I42" s="217">
        <v>0</v>
      </c>
      <c r="J42" s="217">
        <v>0</v>
      </c>
    </row>
    <row r="43" spans="1:10" ht="25.5" x14ac:dyDescent="0.2">
      <c r="A43" s="234" t="s">
        <v>200</v>
      </c>
      <c r="B43" s="215" t="s">
        <v>474</v>
      </c>
      <c r="C43" s="216" t="s">
        <v>475</v>
      </c>
      <c r="D43" s="217">
        <v>141001</v>
      </c>
      <c r="E43" s="217">
        <v>37186</v>
      </c>
      <c r="F43" s="217">
        <v>0</v>
      </c>
      <c r="G43" s="217">
        <v>103815</v>
      </c>
      <c r="H43" s="217">
        <v>0</v>
      </c>
      <c r="I43" s="217">
        <v>0</v>
      </c>
      <c r="J43" s="217">
        <v>0</v>
      </c>
    </row>
    <row r="44" spans="1:10" ht="25.5" x14ac:dyDescent="0.2">
      <c r="A44" s="234" t="s">
        <v>201</v>
      </c>
      <c r="B44" s="218" t="s">
        <v>476</v>
      </c>
      <c r="C44" s="219" t="s">
        <v>477</v>
      </c>
      <c r="D44" s="220">
        <v>663225</v>
      </c>
      <c r="E44" s="220">
        <v>174910</v>
      </c>
      <c r="F44" s="220">
        <v>0</v>
      </c>
      <c r="G44" s="220">
        <v>488315</v>
      </c>
      <c r="H44" s="220">
        <v>0</v>
      </c>
      <c r="I44" s="220">
        <v>0</v>
      </c>
      <c r="J44" s="220">
        <v>0</v>
      </c>
    </row>
    <row r="45" spans="1:10" ht="25.5" x14ac:dyDescent="0.2">
      <c r="A45" s="234" t="s">
        <v>202</v>
      </c>
      <c r="B45" s="218" t="s">
        <v>478</v>
      </c>
      <c r="C45" s="219" t="s">
        <v>479</v>
      </c>
      <c r="D45" s="220">
        <v>154803470</v>
      </c>
      <c r="E45" s="220">
        <v>144871667</v>
      </c>
      <c r="F45" s="220">
        <v>2804106</v>
      </c>
      <c r="G45" s="220">
        <v>5595982</v>
      </c>
      <c r="H45" s="220">
        <v>1531715</v>
      </c>
      <c r="I45" s="220">
        <v>0</v>
      </c>
      <c r="J45" s="220">
        <v>0</v>
      </c>
    </row>
    <row r="46" spans="1:10" x14ac:dyDescent="0.2">
      <c r="A46" s="234" t="s">
        <v>203</v>
      </c>
      <c r="B46" s="218" t="s">
        <v>480</v>
      </c>
      <c r="C46" s="219" t="s">
        <v>481</v>
      </c>
      <c r="D46" s="220">
        <v>154803470</v>
      </c>
      <c r="E46" s="220">
        <v>144871667</v>
      </c>
      <c r="F46" s="220">
        <v>2804106</v>
      </c>
      <c r="G46" s="220">
        <v>5595982</v>
      </c>
      <c r="H46" s="220">
        <v>1531715</v>
      </c>
      <c r="I46" s="220">
        <v>0</v>
      </c>
      <c r="J46" s="220">
        <v>0</v>
      </c>
    </row>
    <row r="47" spans="1:10" x14ac:dyDescent="0.2">
      <c r="A47" s="234" t="s">
        <v>204</v>
      </c>
      <c r="B47" s="215" t="s">
        <v>482</v>
      </c>
      <c r="C47" s="216" t="s">
        <v>483</v>
      </c>
      <c r="D47" s="217">
        <v>22</v>
      </c>
      <c r="E47" s="217">
        <v>22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</row>
  </sheetData>
  <mergeCells count="3">
    <mergeCell ref="B5:J5"/>
    <mergeCell ref="A1:J1"/>
    <mergeCell ref="A2:J2"/>
  </mergeCells>
  <pageMargins left="0.7" right="0.7" top="0.75" bottom="0.75" header="0.3" footer="0.3"/>
  <pageSetup paperSize="9" scale="47" orientation="landscape" r:id="rId1"/>
  <headerFooter>
    <oddHeader>&amp;RÉrték típus: Forint</oddHeader>
    <oddFooter>&amp;LAdatellenőrző kód: 2f-36-1054-7d-7312-7d43-4d3949-1e-1874796750692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view="pageBreakPreview" zoomScale="80" zoomScaleNormal="90" zoomScaleSheetLayoutView="80" workbookViewId="0">
      <pane ySplit="8" topLeftCell="A9" activePane="bottomLeft" state="frozen"/>
      <selection pane="bottomLeft" activeCell="H27" sqref="H27"/>
    </sheetView>
  </sheetViews>
  <sheetFormatPr defaultColWidth="8.75" defaultRowHeight="12.75" x14ac:dyDescent="0.2"/>
  <cols>
    <col min="1" max="1" width="4" style="232" customWidth="1"/>
    <col min="2" max="2" width="7.375" style="212" customWidth="1"/>
    <col min="3" max="3" width="36.875" style="212" customWidth="1"/>
    <col min="4" max="10" width="20.75" style="212" customWidth="1"/>
    <col min="11" max="16384" width="8.75" style="212"/>
  </cols>
  <sheetData>
    <row r="2" spans="1:11" ht="15.75" x14ac:dyDescent="0.2">
      <c r="B2" s="273" t="s">
        <v>0</v>
      </c>
      <c r="C2" s="274"/>
      <c r="D2" s="274"/>
      <c r="E2" s="274"/>
      <c r="F2" s="274"/>
      <c r="G2" s="274"/>
      <c r="H2" s="274"/>
      <c r="I2" s="274"/>
      <c r="J2" s="274"/>
      <c r="K2" s="213"/>
    </row>
    <row r="3" spans="1:11" ht="15.75" x14ac:dyDescent="0.25">
      <c r="B3" s="270" t="s">
        <v>510</v>
      </c>
      <c r="C3" s="270"/>
      <c r="D3" s="270"/>
      <c r="E3" s="270"/>
      <c r="F3" s="270"/>
      <c r="G3" s="270"/>
      <c r="H3" s="270"/>
      <c r="I3" s="270"/>
      <c r="J3" s="243"/>
      <c r="K3" s="213"/>
    </row>
    <row r="4" spans="1:11" ht="15.75" x14ac:dyDescent="0.25">
      <c r="B4" s="227"/>
      <c r="C4" s="227"/>
      <c r="D4" s="227"/>
      <c r="E4" s="227"/>
      <c r="F4" s="227"/>
      <c r="G4" s="227"/>
      <c r="H4" s="227"/>
      <c r="I4" s="227"/>
      <c r="J4" s="149"/>
      <c r="K4" s="213"/>
    </row>
    <row r="5" spans="1:11" ht="33.75" x14ac:dyDescent="0.25">
      <c r="A5" s="235" t="s">
        <v>174</v>
      </c>
      <c r="B5" s="229" t="s">
        <v>166</v>
      </c>
      <c r="C5" s="229" t="s">
        <v>167</v>
      </c>
      <c r="D5" s="229" t="s">
        <v>168</v>
      </c>
      <c r="E5" s="229" t="s">
        <v>169</v>
      </c>
      <c r="F5" s="229" t="s">
        <v>170</v>
      </c>
      <c r="G5" s="229" t="s">
        <v>197</v>
      </c>
      <c r="H5" s="229" t="s">
        <v>198</v>
      </c>
      <c r="I5" s="229" t="s">
        <v>273</v>
      </c>
      <c r="J5" s="121" t="s">
        <v>274</v>
      </c>
      <c r="K5" s="213"/>
    </row>
    <row r="6" spans="1:11" ht="24" customHeight="1" x14ac:dyDescent="0.2">
      <c r="A6" s="234" t="s">
        <v>151</v>
      </c>
      <c r="B6" s="265" t="s">
        <v>485</v>
      </c>
      <c r="C6" s="266"/>
      <c r="D6" s="266"/>
      <c r="E6" s="266"/>
      <c r="F6" s="266"/>
      <c r="G6" s="266"/>
      <c r="H6" s="266"/>
      <c r="I6" s="266"/>
      <c r="J6" s="266"/>
    </row>
    <row r="7" spans="1:11" ht="54.6" customHeight="1" x14ac:dyDescent="0.2">
      <c r="A7" s="234" t="s">
        <v>152</v>
      </c>
      <c r="B7" s="214" t="s">
        <v>278</v>
      </c>
      <c r="C7" s="214" t="s">
        <v>1</v>
      </c>
      <c r="D7" s="214" t="s">
        <v>486</v>
      </c>
      <c r="E7" s="214" t="s">
        <v>487</v>
      </c>
      <c r="F7" s="214" t="s">
        <v>488</v>
      </c>
      <c r="G7" s="214" t="s">
        <v>489</v>
      </c>
      <c r="H7" s="214" t="s">
        <v>490</v>
      </c>
      <c r="I7" s="214" t="s">
        <v>491</v>
      </c>
      <c r="J7" s="214" t="s">
        <v>492</v>
      </c>
    </row>
    <row r="8" spans="1:11" ht="15.75" x14ac:dyDescent="0.2">
      <c r="A8" s="234" t="s">
        <v>153</v>
      </c>
      <c r="B8" s="214">
        <v>1</v>
      </c>
      <c r="C8" s="214">
        <v>2</v>
      </c>
      <c r="D8" s="214">
        <v>3</v>
      </c>
      <c r="E8" s="214">
        <v>4</v>
      </c>
      <c r="F8" s="214">
        <v>5</v>
      </c>
      <c r="G8" s="214">
        <v>6</v>
      </c>
      <c r="H8" s="214">
        <v>7</v>
      </c>
      <c r="I8" s="214">
        <v>8</v>
      </c>
      <c r="J8" s="214">
        <v>9</v>
      </c>
    </row>
    <row r="9" spans="1:11" x14ac:dyDescent="0.2">
      <c r="A9" s="234" t="s">
        <v>154</v>
      </c>
      <c r="B9" s="218" t="s">
        <v>340</v>
      </c>
      <c r="C9" s="219" t="s">
        <v>493</v>
      </c>
      <c r="D9" s="220">
        <v>502560</v>
      </c>
      <c r="E9" s="220">
        <v>0</v>
      </c>
      <c r="F9" s="220">
        <v>4683800</v>
      </c>
      <c r="G9" s="220">
        <v>0</v>
      </c>
      <c r="H9" s="220">
        <v>0</v>
      </c>
      <c r="I9" s="220">
        <v>0</v>
      </c>
      <c r="J9" s="220">
        <v>5186360</v>
      </c>
    </row>
    <row r="10" spans="1:11" ht="25.5" x14ac:dyDescent="0.2">
      <c r="A10" s="234" t="s">
        <v>155</v>
      </c>
      <c r="B10" s="215" t="s">
        <v>342</v>
      </c>
      <c r="C10" s="216" t="s">
        <v>494</v>
      </c>
      <c r="D10" s="217">
        <v>0</v>
      </c>
      <c r="E10" s="217">
        <v>0</v>
      </c>
      <c r="F10" s="217">
        <v>0</v>
      </c>
      <c r="G10" s="217">
        <v>0</v>
      </c>
      <c r="H10" s="217">
        <v>522224</v>
      </c>
      <c r="I10" s="217">
        <v>0</v>
      </c>
      <c r="J10" s="217">
        <v>522224</v>
      </c>
    </row>
    <row r="11" spans="1:11" x14ac:dyDescent="0.2">
      <c r="A11" s="234" t="s">
        <v>156</v>
      </c>
      <c r="B11" s="215" t="s">
        <v>346</v>
      </c>
      <c r="C11" s="216" t="s">
        <v>495</v>
      </c>
      <c r="D11" s="217">
        <v>0</v>
      </c>
      <c r="E11" s="217">
        <v>0</v>
      </c>
      <c r="F11" s="217">
        <v>522224</v>
      </c>
      <c r="G11" s="217">
        <v>0</v>
      </c>
      <c r="H11" s="217">
        <v>0</v>
      </c>
      <c r="I11" s="217">
        <v>0</v>
      </c>
      <c r="J11" s="217">
        <v>522224</v>
      </c>
    </row>
    <row r="12" spans="1:11" x14ac:dyDescent="0.2">
      <c r="A12" s="234" t="s">
        <v>157</v>
      </c>
      <c r="B12" s="215" t="s">
        <v>349</v>
      </c>
      <c r="C12" s="216" t="s">
        <v>496</v>
      </c>
      <c r="D12" s="217">
        <v>0</v>
      </c>
      <c r="E12" s="217">
        <v>0</v>
      </c>
      <c r="F12" s="217">
        <v>3200502</v>
      </c>
      <c r="G12" s="217">
        <v>0</v>
      </c>
      <c r="H12" s="217">
        <v>0</v>
      </c>
      <c r="I12" s="217">
        <v>0</v>
      </c>
      <c r="J12" s="217">
        <v>3200502</v>
      </c>
    </row>
    <row r="13" spans="1:11" x14ac:dyDescent="0.2">
      <c r="A13" s="234" t="s">
        <v>158</v>
      </c>
      <c r="B13" s="218" t="s">
        <v>356</v>
      </c>
      <c r="C13" s="219" t="s">
        <v>497</v>
      </c>
      <c r="D13" s="220">
        <v>0</v>
      </c>
      <c r="E13" s="220">
        <v>0</v>
      </c>
      <c r="F13" s="220">
        <v>3722726</v>
      </c>
      <c r="G13" s="220">
        <v>0</v>
      </c>
      <c r="H13" s="220">
        <v>522224</v>
      </c>
      <c r="I13" s="220">
        <v>0</v>
      </c>
      <c r="J13" s="220">
        <v>4244950</v>
      </c>
    </row>
    <row r="14" spans="1:11" x14ac:dyDescent="0.2">
      <c r="A14" s="234" t="s">
        <v>159</v>
      </c>
      <c r="B14" s="215" t="s">
        <v>364</v>
      </c>
      <c r="C14" s="216" t="s">
        <v>498</v>
      </c>
      <c r="D14" s="217">
        <v>0</v>
      </c>
      <c r="E14" s="217">
        <v>0</v>
      </c>
      <c r="F14" s="217">
        <v>3703062</v>
      </c>
      <c r="G14" s="217">
        <v>0</v>
      </c>
      <c r="H14" s="217">
        <v>522224</v>
      </c>
      <c r="I14" s="217">
        <v>0</v>
      </c>
      <c r="J14" s="217">
        <v>4225286</v>
      </c>
    </row>
    <row r="15" spans="1:11" x14ac:dyDescent="0.2">
      <c r="A15" s="234" t="s">
        <v>160</v>
      </c>
      <c r="B15" s="218" t="s">
        <v>366</v>
      </c>
      <c r="C15" s="219" t="s">
        <v>499</v>
      </c>
      <c r="D15" s="220">
        <v>0</v>
      </c>
      <c r="E15" s="220">
        <v>0</v>
      </c>
      <c r="F15" s="220">
        <v>3703062</v>
      </c>
      <c r="G15" s="220">
        <v>0</v>
      </c>
      <c r="H15" s="220">
        <v>522224</v>
      </c>
      <c r="I15" s="220">
        <v>0</v>
      </c>
      <c r="J15" s="220">
        <v>4225286</v>
      </c>
    </row>
    <row r="16" spans="1:11" x14ac:dyDescent="0.2">
      <c r="A16" s="234" t="s">
        <v>161</v>
      </c>
      <c r="B16" s="218" t="s">
        <v>351</v>
      </c>
      <c r="C16" s="219" t="s">
        <v>500</v>
      </c>
      <c r="D16" s="220">
        <v>502560</v>
      </c>
      <c r="E16" s="220">
        <v>0</v>
      </c>
      <c r="F16" s="220">
        <v>4703464</v>
      </c>
      <c r="G16" s="220">
        <v>0</v>
      </c>
      <c r="H16" s="220">
        <v>0</v>
      </c>
      <c r="I16" s="220">
        <v>0</v>
      </c>
      <c r="J16" s="220">
        <v>5206024</v>
      </c>
    </row>
    <row r="17" spans="1:10" x14ac:dyDescent="0.2">
      <c r="A17" s="234" t="s">
        <v>162</v>
      </c>
      <c r="B17" s="218" t="s">
        <v>403</v>
      </c>
      <c r="C17" s="219" t="s">
        <v>501</v>
      </c>
      <c r="D17" s="220">
        <v>502560</v>
      </c>
      <c r="E17" s="220">
        <v>0</v>
      </c>
      <c r="F17" s="220">
        <v>4450920</v>
      </c>
      <c r="G17" s="220">
        <v>0</v>
      </c>
      <c r="H17" s="220">
        <v>0</v>
      </c>
      <c r="I17" s="220">
        <v>0</v>
      </c>
      <c r="J17" s="220">
        <v>4953480</v>
      </c>
    </row>
    <row r="18" spans="1:10" x14ac:dyDescent="0.2">
      <c r="A18" s="234" t="s">
        <v>163</v>
      </c>
      <c r="B18" s="215" t="s">
        <v>353</v>
      </c>
      <c r="C18" s="216" t="s">
        <v>502</v>
      </c>
      <c r="D18" s="217">
        <v>0</v>
      </c>
      <c r="E18" s="217">
        <v>0</v>
      </c>
      <c r="F18" s="217">
        <v>821041</v>
      </c>
      <c r="G18" s="217">
        <v>0</v>
      </c>
      <c r="H18" s="217">
        <v>0</v>
      </c>
      <c r="I18" s="217">
        <v>0</v>
      </c>
      <c r="J18" s="217">
        <v>821041</v>
      </c>
    </row>
    <row r="19" spans="1:10" x14ac:dyDescent="0.2">
      <c r="A19" s="234" t="s">
        <v>164</v>
      </c>
      <c r="B19" s="215" t="s">
        <v>369</v>
      </c>
      <c r="C19" s="216" t="s">
        <v>503</v>
      </c>
      <c r="D19" s="217">
        <v>0</v>
      </c>
      <c r="E19" s="217">
        <v>0</v>
      </c>
      <c r="F19" s="217">
        <v>723183</v>
      </c>
      <c r="G19" s="217">
        <v>0</v>
      </c>
      <c r="H19" s="217">
        <v>0</v>
      </c>
      <c r="I19" s="217">
        <v>0</v>
      </c>
      <c r="J19" s="217">
        <v>723183</v>
      </c>
    </row>
    <row r="20" spans="1:10" ht="25.5" x14ac:dyDescent="0.2">
      <c r="A20" s="234" t="s">
        <v>165</v>
      </c>
      <c r="B20" s="218" t="s">
        <v>371</v>
      </c>
      <c r="C20" s="219" t="s">
        <v>504</v>
      </c>
      <c r="D20" s="220">
        <v>502560</v>
      </c>
      <c r="E20" s="220">
        <v>0</v>
      </c>
      <c r="F20" s="220">
        <v>4548778</v>
      </c>
      <c r="G20" s="220">
        <v>0</v>
      </c>
      <c r="H20" s="220">
        <v>0</v>
      </c>
      <c r="I20" s="220">
        <v>0</v>
      </c>
      <c r="J20" s="220">
        <v>5051338</v>
      </c>
    </row>
    <row r="21" spans="1:10" x14ac:dyDescent="0.2">
      <c r="A21" s="234" t="s">
        <v>175</v>
      </c>
      <c r="B21" s="218" t="s">
        <v>381</v>
      </c>
      <c r="C21" s="219" t="s">
        <v>505</v>
      </c>
      <c r="D21" s="220">
        <v>502560</v>
      </c>
      <c r="E21" s="220">
        <v>0</v>
      </c>
      <c r="F21" s="220">
        <v>4548778</v>
      </c>
      <c r="G21" s="220">
        <v>0</v>
      </c>
      <c r="H21" s="220">
        <v>0</v>
      </c>
      <c r="I21" s="220">
        <v>0</v>
      </c>
      <c r="J21" s="220">
        <v>5051338</v>
      </c>
    </row>
    <row r="22" spans="1:10" x14ac:dyDescent="0.2">
      <c r="A22" s="234" t="s">
        <v>176</v>
      </c>
      <c r="B22" s="218" t="s">
        <v>506</v>
      </c>
      <c r="C22" s="219" t="s">
        <v>507</v>
      </c>
      <c r="D22" s="220">
        <v>0</v>
      </c>
      <c r="E22" s="220">
        <v>0</v>
      </c>
      <c r="F22" s="220">
        <v>154686</v>
      </c>
      <c r="G22" s="220">
        <v>0</v>
      </c>
      <c r="H22" s="220">
        <v>0</v>
      </c>
      <c r="I22" s="220">
        <v>0</v>
      </c>
      <c r="J22" s="220">
        <v>154686</v>
      </c>
    </row>
    <row r="23" spans="1:10" x14ac:dyDescent="0.2">
      <c r="A23" s="234" t="s">
        <v>177</v>
      </c>
      <c r="B23" s="215" t="s">
        <v>508</v>
      </c>
      <c r="C23" s="216" t="s">
        <v>509</v>
      </c>
      <c r="D23" s="217">
        <v>502560</v>
      </c>
      <c r="E23" s="217">
        <v>0</v>
      </c>
      <c r="F23" s="217">
        <v>4466514</v>
      </c>
      <c r="G23" s="217">
        <v>0</v>
      </c>
      <c r="H23" s="217">
        <v>0</v>
      </c>
      <c r="I23" s="217">
        <v>0</v>
      </c>
      <c r="J23" s="217">
        <v>4969074</v>
      </c>
    </row>
  </sheetData>
  <mergeCells count="3">
    <mergeCell ref="B6:J6"/>
    <mergeCell ref="B2:J2"/>
    <mergeCell ref="B3:J3"/>
  </mergeCells>
  <pageMargins left="0.7" right="0.7" top="0.75" bottom="0.75" header="0.3" footer="0.3"/>
  <pageSetup paperSize="9" scale="63" orientation="landscape" r:id="rId1"/>
  <headerFooter>
    <oddHeader>&amp;RÉrték típus: Forint</oddHeader>
    <oddFooter>&amp;LAdatellenőrző kód: 2f-36-1054-7d-7312-7d43-4d3949-1e-1874796750692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5</vt:i4>
      </vt:variant>
    </vt:vector>
  </HeadingPairs>
  <TitlesOfParts>
    <vt:vector size="14" baseType="lpstr">
      <vt:lpstr>Mérleg</vt:lpstr>
      <vt:lpstr>Bevételek</vt:lpstr>
      <vt:lpstr>Kiadások</vt:lpstr>
      <vt:lpstr>Vagyon</vt:lpstr>
      <vt:lpstr>Maradvány</vt:lpstr>
      <vt:lpstr>Eredménykimutatás</vt:lpstr>
      <vt:lpstr>Személyi juttatások</vt:lpstr>
      <vt:lpstr>Cofog szerinti kiadások</vt:lpstr>
      <vt:lpstr>Eszközök állománya</vt:lpstr>
      <vt:lpstr>Kiadások!Nyomtatási_cím</vt:lpstr>
      <vt:lpstr>Bevételek!Nyomtatási_terület</vt:lpstr>
      <vt:lpstr>Kiadások!Nyomtatási_terület</vt:lpstr>
      <vt:lpstr>Mérleg!Nyomtatási_terület</vt:lpstr>
      <vt:lpstr>Vagyon!Nyomtatási_terület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SzaboTimea</cp:lastModifiedBy>
  <cp:lastPrinted>2023-05-08T06:43:12Z</cp:lastPrinted>
  <dcterms:created xsi:type="dcterms:W3CDTF">2019-09-05T06:28:05Z</dcterms:created>
  <dcterms:modified xsi:type="dcterms:W3CDTF">2023-05-10T08:55:22Z</dcterms:modified>
</cp:coreProperties>
</file>