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K:\ELŐTERJESZTÉSEK\2022\Közös Hivatal\November 29\1. 2022. évi költségvetés módosítás\"/>
    </mc:Choice>
  </mc:AlternateContent>
  <xr:revisionPtr revIDLastSave="0" documentId="13_ncr:1_{3CD68F6E-DBC0-44E5-A89B-24DFF42C7FF1}" xr6:coauthVersionLast="47" xr6:coauthVersionMax="47" xr10:uidLastSave="{00000000-0000-0000-0000-000000000000}"/>
  <bookViews>
    <workbookView xWindow="30" yWindow="0" windowWidth="23970" windowHeight="12900" tabRatio="500" xr2:uid="{00000000-000D-0000-FFFF-FFFF00000000}"/>
  </bookViews>
  <sheets>
    <sheet name="Mérleg" sheetId="1" r:id="rId1"/>
    <sheet name="Bevételek" sheetId="2" r:id="rId2"/>
    <sheet name="Kiadások" sheetId="3" r:id="rId3"/>
  </sheets>
  <externalReferences>
    <externalReference r:id="rId4"/>
  </externalReferences>
  <definedNames>
    <definedName name="_xlnm.Print_Titles" localSheetId="2">Kiadások!$1:$6</definedName>
    <definedName name="_xlnm.Print_Area" localSheetId="2">Kiadások!$A$1:$H$111</definedName>
    <definedName name="_xlnm.Print_Area" localSheetId="0">Mérleg!$A$1:$F$19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2" l="1"/>
  <c r="H9" i="2"/>
  <c r="H16" i="3"/>
  <c r="H31" i="3" l="1"/>
  <c r="H99" i="3" l="1"/>
  <c r="H17" i="3"/>
  <c r="H17" i="2" l="1"/>
  <c r="G17" i="2"/>
  <c r="H82" i="3"/>
  <c r="H75" i="3" l="1"/>
  <c r="H70" i="3"/>
  <c r="H22" i="2"/>
  <c r="H92" i="3"/>
  <c r="H91" i="3"/>
  <c r="H90" i="3" s="1"/>
  <c r="H89" i="3" s="1"/>
  <c r="H97" i="3"/>
  <c r="H96" i="3" s="1"/>
  <c r="H102" i="3" l="1"/>
  <c r="H95" i="3" s="1"/>
  <c r="G102" i="3"/>
  <c r="G99" i="3"/>
  <c r="G97" i="3"/>
  <c r="G96" i="3" s="1"/>
  <c r="H93" i="3"/>
  <c r="H88" i="3" s="1"/>
  <c r="G93" i="3"/>
  <c r="G90" i="3"/>
  <c r="G89" i="3" s="1"/>
  <c r="H21" i="2"/>
  <c r="H20" i="2" s="1"/>
  <c r="H19" i="2" s="1"/>
  <c r="G21" i="2"/>
  <c r="G20" i="2" s="1"/>
  <c r="G19" i="2" s="1"/>
  <c r="G95" i="3" l="1"/>
  <c r="G88" i="3" s="1"/>
  <c r="H56" i="3"/>
  <c r="H26" i="3"/>
  <c r="H9" i="3" l="1"/>
  <c r="H8" i="3" s="1"/>
  <c r="H85" i="3" l="1"/>
  <c r="H109" i="3" s="1"/>
  <c r="H53" i="3"/>
  <c r="H36" i="2"/>
  <c r="H35" i="2"/>
  <c r="H34" i="2"/>
  <c r="H33" i="2"/>
  <c r="H32" i="2"/>
  <c r="H31" i="2"/>
  <c r="H30" i="2"/>
  <c r="H29" i="2"/>
  <c r="H19" i="3" l="1"/>
  <c r="H106" i="3" s="1"/>
  <c r="G27" i="2"/>
  <c r="G25" i="2" s="1"/>
  <c r="G24" i="2" s="1"/>
  <c r="G23" i="2" s="1"/>
  <c r="G66" i="3"/>
  <c r="G65" i="3" s="1"/>
  <c r="G70" i="3"/>
  <c r="G75" i="3"/>
  <c r="G74" i="3" s="1"/>
  <c r="G77" i="3"/>
  <c r="G80" i="3"/>
  <c r="G82" i="3"/>
  <c r="G85" i="3"/>
  <c r="G62" i="3"/>
  <c r="G61" i="3" s="1"/>
  <c r="G58" i="3"/>
  <c r="G53" i="3"/>
  <c r="G51" i="3"/>
  <c r="G46" i="3"/>
  <c r="G45" i="3"/>
  <c r="G33" i="3"/>
  <c r="G31" i="3" s="1"/>
  <c r="G30" i="3" s="1"/>
  <c r="G26" i="3"/>
  <c r="G24" i="3"/>
  <c r="G16" i="3"/>
  <c r="G20" i="3" s="1"/>
  <c r="G15" i="2"/>
  <c r="G14" i="2" s="1"/>
  <c r="G13" i="2" s="1"/>
  <c r="G10" i="2"/>
  <c r="G39" i="2" s="1"/>
  <c r="G9" i="2"/>
  <c r="G8" i="2" s="1"/>
  <c r="E18" i="1"/>
  <c r="E17" i="1"/>
  <c r="E16" i="1"/>
  <c r="E15" i="1"/>
  <c r="E14" i="1"/>
  <c r="E11" i="1"/>
  <c r="E10" i="1"/>
  <c r="E9" i="1"/>
  <c r="G19" i="3" l="1"/>
  <c r="G106" i="3" s="1"/>
  <c r="G7" i="2"/>
  <c r="G37" i="2" s="1"/>
  <c r="G40" i="3"/>
  <c r="G36" i="3" s="1"/>
  <c r="G9" i="3"/>
  <c r="G8" i="3" s="1"/>
  <c r="G105" i="3" s="1"/>
  <c r="E13" i="1"/>
  <c r="E19" i="1" s="1"/>
  <c r="E8" i="1"/>
  <c r="E12" i="1" s="1"/>
  <c r="G23" i="3"/>
  <c r="G22" i="3" s="1"/>
  <c r="G73" i="3"/>
  <c r="G64" i="3" s="1"/>
  <c r="G60" i="3"/>
  <c r="G108" i="3"/>
  <c r="G59" i="3"/>
  <c r="G56" i="3" s="1"/>
  <c r="G38" i="2"/>
  <c r="G40" i="2"/>
  <c r="G109" i="3" l="1"/>
  <c r="G7" i="3"/>
  <c r="G104" i="3" s="1"/>
  <c r="G107" i="3"/>
  <c r="G41" i="2"/>
  <c r="G110" i="3" l="1"/>
  <c r="H28" i="2"/>
  <c r="H15" i="2" l="1"/>
  <c r="H14" i="2" s="1"/>
  <c r="H13" i="2" l="1"/>
  <c r="H80" i="3"/>
  <c r="H77" i="3"/>
  <c r="H74" i="3"/>
  <c r="H68" i="3"/>
  <c r="H67" i="3"/>
  <c r="H73" i="3" l="1"/>
  <c r="H66" i="3"/>
  <c r="H65" i="3" s="1"/>
  <c r="H105" i="3" s="1"/>
  <c r="H62" i="3"/>
  <c r="H64" i="3" l="1"/>
  <c r="H46" i="3" l="1"/>
  <c r="H45" i="3"/>
  <c r="H40" i="3" s="1"/>
  <c r="H61" i="3" l="1"/>
  <c r="H51" i="3"/>
  <c r="H36" i="3"/>
  <c r="H30" i="3"/>
  <c r="H24" i="3"/>
  <c r="H108" i="3" l="1"/>
  <c r="F17" i="1" s="1"/>
  <c r="H60" i="3"/>
  <c r="H23" i="3"/>
  <c r="H22" i="3" s="1"/>
  <c r="H107" i="3" l="1"/>
  <c r="F16" i="1" s="1"/>
  <c r="H7" i="3"/>
  <c r="F14" i="1"/>
  <c r="F15" i="1"/>
  <c r="H27" i="2"/>
  <c r="H25" i="2" s="1"/>
  <c r="H8" i="2" l="1"/>
  <c r="H38" i="2" s="1"/>
  <c r="H10" i="2"/>
  <c r="H39" i="2" l="1"/>
  <c r="F10" i="1" s="1"/>
  <c r="H24" i="2"/>
  <c r="H40" i="2" s="1"/>
  <c r="H41" i="2" s="1"/>
  <c r="H7" i="2"/>
  <c r="F9" i="1" l="1"/>
  <c r="F11" i="1"/>
  <c r="H23" i="2"/>
  <c r="H37" i="2" s="1"/>
  <c r="H104" i="3"/>
  <c r="H110" i="3"/>
  <c r="F18" i="1"/>
  <c r="F13" i="1" s="1"/>
  <c r="F19" i="1" s="1"/>
  <c r="F8" i="1" l="1"/>
  <c r="F12" i="1" s="1"/>
</calcChain>
</file>

<file path=xl/sharedStrings.xml><?xml version="1.0" encoding="utf-8"?>
<sst xmlns="http://schemas.openxmlformats.org/spreadsheetml/2006/main" count="452" uniqueCount="270">
  <si>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</si>
  <si>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</si>
  <si>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</si>
  <si>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</si>
  <si>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</si>
  <si>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</si>
  <si>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</si>
  <si>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</si>
  <si>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</si>
  <si>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</si>
  <si>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</si>
  <si>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</si>
  <si>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</si>
  <si>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</si>
  <si>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</si>
  <si>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</si>
  <si>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</si>
  <si>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</si>
  <si>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</si>
  <si>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</si>
  <si>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</si>
  <si>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</si>
  <si>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</si>
  <si>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</si>
  <si>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</si>
  <si>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</si>
  <si>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</si>
  <si>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</si>
  <si>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</si>
  <si>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</si>
  <si>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</si>
  <si>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</si>
  <si>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</si>
  <si>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</si>
  <si>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</si>
  <si>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</si>
  <si>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</si>
  <si>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</si>
  <si>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</si>
  <si>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</si>
  <si>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</si>
  <si>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</si>
  <si>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</si>
  <si>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</si>
  <si>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</si>
  <si>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</si>
  <si>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</si>
  <si>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</si>
  <si>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</si>
  <si>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</si>
  <si>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</si>
  <si>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</si>
  <si>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</si>
  <si>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</si>
  <si>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</si>
  <si>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</si>
  <si>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</si>
  <si>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</si>
  <si>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</si>
  <si>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</si>
  <si>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</si>
  <si>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</si>
  <si>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</si>
  <si>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</si>
  <si>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</si>
  <si>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</si>
  <si>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</si>
  <si>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</si>
  <si>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</si>
  <si>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</si>
  <si>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</si>
  <si>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</si>
  <si>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</si>
  <si>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</si>
  <si>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</si>
  <si>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</si>
  <si>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</si>
  <si>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</si>
  <si>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</si>
  <si>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</si>
  <si>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</si>
  <si>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</si>
  <si>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</si>
  <si>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</si>
  <si>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</si>
  <si>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</si>
  <si>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</si>
  <si>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</si>
  <si>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</si>
  <si>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</si>
  <si>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</si>
  <si>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</si>
  <si>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</si>
  <si>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</si>
  <si>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</si>
  <si>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</si>
  <si>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</si>
  <si>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</si>
  <si>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</si>
  <si>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</si>
  <si>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</si>
  <si>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</si>
  <si>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</si>
  <si>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</si>
  <si>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</si>
  <si>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Rendszerkövetési szolgáltatás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</si>
  <si>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</si>
  <si>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</si>
  <si>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</si>
  <si>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</si>
  <si>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</si>
  <si>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</si>
  <si>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</si>
  <si>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 xml:space="preserve"> - Adatvédelmi tisztviselői szolgáltatás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</si>
  <si>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</si>
  <si>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</si>
  <si>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</si>
  <si>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</si>
  <si>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 xml:space="preserve"> - Zajszint mérés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</si>
  <si>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</si>
  <si>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</si>
  <si>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</si>
  <si>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</si>
  <si>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</si>
  <si>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</si>
  <si>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</si>
  <si>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</si>
  <si>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>2022 évi KIADÁSOK részletezése</t>
  </si>
  <si>
    <t xml:space="preserve">K6 </t>
  </si>
  <si>
    <t>2022 évi BEVÉTELEK részletezése</t>
  </si>
  <si>
    <t>2022. évi költségvetés ÖSSZEVONT MÉRLEGE</t>
  </si>
  <si>
    <t>016010 Országgyűlési, Önkormányzati és Európa parlamenti képviselőválasztáshoz kapcsolódó tevékenységek</t>
  </si>
  <si>
    <t>K12</t>
  </si>
  <si>
    <t>Külső személyi juttatások</t>
  </si>
  <si>
    <t>K122</t>
  </si>
  <si>
    <t>Egyéb külső személyi juttatások (Megbízási díj)</t>
  </si>
  <si>
    <t>K123</t>
  </si>
  <si>
    <t>Egyéb külső személyi juttatások (Tiszteletdíj)</t>
  </si>
  <si>
    <t>Egyéb külső szem. Juttatások (repi)</t>
  </si>
  <si>
    <t>Szociaális hozzájárulási adó és SZJA (ellátás)</t>
  </si>
  <si>
    <t>Nyomtatás és irodaszer díja</t>
  </si>
  <si>
    <t>Egyéb tárgyi eszközök beszerzése (szavazófülke)</t>
  </si>
  <si>
    <t>016010 Országgyűlési, Önkormányzati és Eutópa parlamenti képviselőválasztáshoz kapcsolódó tevékenységek</t>
  </si>
  <si>
    <t>Országgyűlési képviselő választás és Népszavazás</t>
  </si>
  <si>
    <t>K1104</t>
  </si>
  <si>
    <t>Készenléti, ügyeleti, helyettesítési díj túlóra, túlszolgálat teljesítése</t>
  </si>
  <si>
    <t>Módosított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</si>
  <si>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</si>
  <si>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</si>
  <si>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</si>
  <si>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</si>
  <si>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</si>
  <si>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</si>
  <si>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</si>
  <si>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</si>
  <si>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</si>
  <si>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</si>
  <si>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</si>
  <si>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</si>
  <si>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</si>
  <si>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</si>
  <si>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</si>
  <si>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</si>
  <si>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</si>
  <si>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</si>
  <si>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</si>
  <si>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</si>
  <si>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</si>
  <si>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</si>
  <si>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</si>
  <si>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</si>
  <si>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013210 Átfogó tervezési és statisztikai szolgáltatások</t>
  </si>
  <si>
    <t>Egyéb dologi kiadások (HVB tagok távolléti díja)</t>
  </si>
  <si>
    <t>Egyéb működési bevételek (kerekítési különbözet)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</si>
  <si>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</si>
  <si>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</si>
  <si>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</si>
  <si>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</si>
  <si>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</si>
  <si>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</si>
  <si>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</si>
  <si>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</si>
  <si>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</si>
  <si>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</si>
  <si>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</si>
  <si>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</si>
  <si>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</si>
  <si>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</si>
  <si>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</si>
  <si>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</si>
  <si>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</si>
  <si>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</si>
  <si>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</si>
  <si>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</si>
  <si>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</si>
  <si>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</si>
  <si>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</si>
  <si>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F</t>
  </si>
  <si>
    <t>G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</si>
  <si>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</si>
  <si>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</si>
  <si>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</si>
  <si>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</si>
  <si>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</si>
  <si>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</si>
  <si>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</si>
  <si>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</si>
  <si>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</si>
  <si>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</si>
  <si>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</si>
  <si>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</si>
  <si>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</si>
  <si>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</si>
  <si>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</si>
  <si>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</si>
  <si>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</si>
  <si>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</si>
  <si>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</si>
  <si>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</si>
  <si>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</si>
  <si>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</si>
  <si>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</si>
  <si>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</si>
  <si>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</si>
  <si>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</si>
  <si>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</si>
  <si>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</si>
  <si>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</si>
  <si>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</si>
  <si>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</si>
  <si>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</si>
  <si>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</si>
  <si>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</si>
  <si>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</si>
  <si>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</si>
  <si>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</si>
  <si>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</si>
  <si>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</si>
  <si>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</si>
  <si>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</si>
  <si>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</si>
  <si>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</si>
  <si>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</si>
  <si>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</si>
  <si>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</si>
  <si>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</si>
  <si>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</si>
  <si>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</si>
  <si>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</si>
  <si>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</si>
  <si>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</si>
  <si>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</si>
  <si>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</si>
  <si>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</si>
  <si>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</si>
  <si>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</si>
  <si>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</si>
  <si>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</si>
  <si>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</si>
  <si>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</si>
  <si>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</si>
  <si>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</si>
  <si>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</si>
  <si>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</si>
  <si>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</si>
  <si>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</si>
  <si>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</si>
  <si>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</si>
  <si>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</si>
  <si>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Népszavazás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</si>
</sst>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0.0"/>
    <numFmt numFmtId="166" formatCode="_-* #,##0\ _F_t_-;\-* #,##0\ _F_t_-;_-* &quot;-&quot;??\ _F_t_-;_-@_-"/>
    <numFmt numFmtId="167" formatCode="#,##0_ ;\-#,##0\ "/>
  </numFmts>
  <fonts count="16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2"/>
      <color rgb="FF0000F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D0CECE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2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66" fontId="3" fillId="0" borderId="0" xfId="1" applyNumberFormat="1" applyFont="1"/>
    <xf numFmtId="3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4" fillId="0" borderId="9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/>
    </xf>
    <xf numFmtId="166" fontId="4" fillId="2" borderId="16" xfId="1" applyNumberFormat="1" applyFont="1" applyFill="1" applyBorder="1" applyAlignment="1">
      <alignment horizontal="center" vertical="center"/>
    </xf>
    <xf numFmtId="166" fontId="4" fillId="2" borderId="15" xfId="1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7" fontId="3" fillId="0" borderId="9" xfId="1" applyNumberFormat="1" applyFont="1" applyBorder="1" applyAlignment="1">
      <alignment horizontal="center" vertical="center"/>
    </xf>
    <xf numFmtId="167" fontId="3" fillId="0" borderId="17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18" xfId="0" applyFont="1" applyBorder="1"/>
    <xf numFmtId="2" fontId="4" fillId="0" borderId="18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2" fontId="3" fillId="0" borderId="18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Border="1"/>
    <xf numFmtId="2" fontId="7" fillId="0" borderId="18" xfId="0" applyNumberFormat="1" applyFont="1" applyBorder="1" applyAlignment="1">
      <alignment horizontal="right"/>
    </xf>
    <xf numFmtId="0" fontId="8" fillId="0" borderId="18" xfId="0" applyFont="1" applyBorder="1" applyAlignment="1">
      <alignment horizontal="left"/>
    </xf>
    <xf numFmtId="2" fontId="8" fillId="0" borderId="18" xfId="0" applyNumberFormat="1" applyFont="1" applyBorder="1" applyAlignment="1">
      <alignment horizontal="right"/>
    </xf>
    <xf numFmtId="166" fontId="4" fillId="0" borderId="18" xfId="1" applyNumberFormat="1" applyFont="1" applyBorder="1" applyAlignment="1">
      <alignment horizontal="right" vertical="center"/>
    </xf>
    <xf numFmtId="167" fontId="3" fillId="0" borderId="18" xfId="1" applyNumberFormat="1" applyFont="1" applyBorder="1" applyAlignment="1">
      <alignment horizontal="center" vertical="center"/>
    </xf>
    <xf numFmtId="0" fontId="4" fillId="0" borderId="19" xfId="0" applyFont="1" applyBorder="1"/>
    <xf numFmtId="0" fontId="3" fillId="0" borderId="19" xfId="0" applyFont="1" applyBorder="1" applyAlignment="1">
      <alignment horizontal="left"/>
    </xf>
    <xf numFmtId="167" fontId="3" fillId="0" borderId="19" xfId="1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166" fontId="0" fillId="0" borderId="0" xfId="0" applyNumberFormat="1" applyAlignment="1">
      <alignment horizontal="center"/>
    </xf>
    <xf numFmtId="0" fontId="4" fillId="0" borderId="20" xfId="0" applyFont="1" applyBorder="1"/>
    <xf numFmtId="166" fontId="4" fillId="0" borderId="20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right"/>
    </xf>
    <xf numFmtId="166" fontId="4" fillId="2" borderId="9" xfId="1" applyNumberFormat="1" applyFont="1" applyFill="1" applyBorder="1" applyAlignment="1">
      <alignment horizontal="center"/>
    </xf>
    <xf numFmtId="166" fontId="4" fillId="2" borderId="3" xfId="1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left"/>
    </xf>
    <xf numFmtId="166" fontId="4" fillId="0" borderId="21" xfId="1" applyNumberFormat="1" applyFont="1" applyFill="1" applyBorder="1" applyAlignment="1">
      <alignment horizontal="center"/>
    </xf>
    <xf numFmtId="166" fontId="4" fillId="0" borderId="22" xfId="1" applyNumberFormat="1" applyFont="1" applyFill="1" applyBorder="1" applyAlignment="1">
      <alignment horizontal="center"/>
    </xf>
    <xf numFmtId="166" fontId="4" fillId="0" borderId="23" xfId="1" applyNumberFormat="1" applyFont="1" applyFill="1" applyBorder="1" applyAlignment="1">
      <alignment horizontal="center"/>
    </xf>
    <xf numFmtId="0" fontId="4" fillId="0" borderId="24" xfId="0" applyFont="1" applyBorder="1"/>
    <xf numFmtId="166" fontId="4" fillId="0" borderId="24" xfId="1" applyNumberFormat="1" applyFont="1" applyFill="1" applyBorder="1" applyAlignment="1">
      <alignment horizontal="center"/>
    </xf>
    <xf numFmtId="166" fontId="4" fillId="0" borderId="25" xfId="1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2" fontId="3" fillId="0" borderId="27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right" vertical="center"/>
    </xf>
    <xf numFmtId="166" fontId="3" fillId="0" borderId="9" xfId="1" applyNumberFormat="1" applyFont="1" applyBorder="1" applyAlignment="1">
      <alignment vertical="center"/>
    </xf>
    <xf numFmtId="166" fontId="3" fillId="0" borderId="17" xfId="1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3" fillId="0" borderId="28" xfId="0" applyFont="1" applyBorder="1"/>
    <xf numFmtId="0" fontId="4" fillId="3" borderId="3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2" fontId="4" fillId="4" borderId="32" xfId="0" applyNumberFormat="1" applyFont="1" applyFill="1" applyBorder="1" applyAlignment="1">
      <alignment wrapText="1"/>
    </xf>
    <xf numFmtId="166" fontId="4" fillId="4" borderId="33" xfId="1" applyNumberFormat="1" applyFont="1" applyFill="1" applyBorder="1" applyAlignment="1">
      <alignment horizontal="center" vertical="center"/>
    </xf>
    <xf numFmtId="166" fontId="4" fillId="4" borderId="34" xfId="1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/>
    </xf>
    <xf numFmtId="0" fontId="4" fillId="2" borderId="37" xfId="0" applyFont="1" applyFill="1" applyBorder="1"/>
    <xf numFmtId="0" fontId="2" fillId="0" borderId="0" xfId="0" applyFont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3" fontId="4" fillId="0" borderId="0" xfId="0" applyNumberFormat="1" applyFont="1"/>
    <xf numFmtId="166" fontId="3" fillId="0" borderId="0" xfId="0" applyNumberFormat="1" applyFont="1"/>
    <xf numFmtId="1" fontId="4" fillId="0" borderId="30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2" borderId="3" xfId="0" applyFont="1" applyFill="1" applyBorder="1"/>
    <xf numFmtId="0" fontId="3" fillId="0" borderId="45" xfId="0" applyFont="1" applyBorder="1" applyAlignment="1">
      <alignment horizontal="left"/>
    </xf>
    <xf numFmtId="2" fontId="3" fillId="0" borderId="26" xfId="0" applyNumberFormat="1" applyFont="1" applyBorder="1" applyAlignment="1">
      <alignment horizontal="left"/>
    </xf>
    <xf numFmtId="0" fontId="3" fillId="0" borderId="38" xfId="0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/>
    </xf>
    <xf numFmtId="164" fontId="3" fillId="0" borderId="0" xfId="1" applyFont="1"/>
    <xf numFmtId="166" fontId="15" fillId="0" borderId="0" xfId="1" applyNumberFormat="1" applyFont="1"/>
    <xf numFmtId="166" fontId="15" fillId="0" borderId="2" xfId="1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2" borderId="3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39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36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0" fillId="0" borderId="0" xfId="0"/>
  </cellXfs>
  <cellStyles count="3">
    <cellStyle name="Ezres" xfId="1" builtinId="3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ulopSzilvia\Documents\K%20F%20SZILVIA\K&#214;Z&#214;S%20HIVATAL\K&#246;lts&#233;gvet&#233;s%202022\K&#246;lts&#233;gvet&#233;s%202022\2.%20K&#246;z&#246;s%20Hivalat%20k&#246;ls&#233;gvet&#233;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"/>
      <sheetName val="Bevételek"/>
      <sheetName val="Kiadások"/>
    </sheetNames>
    <sheetDataSet>
      <sheetData sheetId="0"/>
      <sheetData sheetId="1">
        <row r="28">
          <cell r="F28">
            <v>2350000</v>
          </cell>
        </row>
        <row r="29">
          <cell r="F29">
            <v>100</v>
          </cell>
        </row>
        <row r="30">
          <cell r="F30">
            <v>147977400</v>
          </cell>
        </row>
      </sheetData>
      <sheetData sheetId="2">
        <row r="53">
          <cell r="F53">
            <v>150000.08100000001</v>
          </cell>
        </row>
        <row r="61">
          <cell r="F61">
            <v>113800000</v>
          </cell>
        </row>
        <row r="62">
          <cell r="F62">
            <v>15666500</v>
          </cell>
        </row>
        <row r="63">
          <cell r="F63">
            <v>18211000</v>
          </cell>
        </row>
        <row r="64">
          <cell r="F64">
            <v>2500000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BreakPreview" zoomScaleNormal="110" zoomScaleSheetLayoutView="100" workbookViewId="0">
      <selection activeCell="D24" sqref="D24"/>
    </sheetView>
  </sheetViews>
  <sheetFormatPr defaultColWidth="8.875" defaultRowHeight="15.75" x14ac:dyDescent="0.25"/>
  <cols>
    <col min="1" max="1" width="3.75" customWidth="1"/>
    <col min="2" max="2" width="3.375" customWidth="1"/>
    <col min="3" max="3" width="4.125" customWidth="1"/>
    <col min="4" max="4" width="51.375" customWidth="1"/>
    <col min="5" max="6" width="19" customWidth="1"/>
    <col min="7" max="7" width="17.125" bestFit="1" customWidth="1"/>
  </cols>
  <sheetData>
    <row r="1" spans="1:7" s="1" customFormat="1" x14ac:dyDescent="0.25">
      <c r="B1" s="135"/>
      <c r="C1" s="135"/>
      <c r="D1" s="135"/>
    </row>
    <row r="2" spans="1:7" s="2" customFormat="1" x14ac:dyDescent="0.25">
      <c r="B2" s="136" t="s">
        <v>0</v>
      </c>
      <c r="C2" s="136"/>
      <c r="D2" s="136"/>
      <c r="E2" s="136"/>
      <c r="F2" s="136"/>
    </row>
    <row r="3" spans="1:7" s="2" customFormat="1" ht="21.75" customHeight="1" x14ac:dyDescent="0.25">
      <c r="B3" s="136" t="s">
        <v>130</v>
      </c>
      <c r="C3" s="136"/>
      <c r="D3" s="136"/>
      <c r="E3" s="136"/>
      <c r="F3" s="136"/>
    </row>
    <row r="4" spans="1:7" s="2" customFormat="1" ht="21.75" customHeight="1" x14ac:dyDescent="0.25">
      <c r="B4" s="3"/>
      <c r="C4" s="3"/>
      <c r="D4" s="3"/>
      <c r="E4" s="3"/>
      <c r="F4" s="3"/>
    </row>
    <row r="5" spans="1:7" s="2" customFormat="1" ht="21.75" customHeight="1" x14ac:dyDescent="0.25">
      <c r="A5" s="100" t="s">
        <v>150</v>
      </c>
      <c r="B5" s="103" t="s">
        <v>166</v>
      </c>
      <c r="C5" s="103" t="s">
        <v>167</v>
      </c>
      <c r="D5" s="103" t="s">
        <v>168</v>
      </c>
      <c r="E5" s="103" t="s">
        <v>169</v>
      </c>
      <c r="F5" s="103" t="s">
        <v>170</v>
      </c>
    </row>
    <row r="6" spans="1:7" s="2" customFormat="1" ht="21.75" customHeight="1" x14ac:dyDescent="0.25">
      <c r="A6" s="101" t="s">
        <v>151</v>
      </c>
      <c r="B6" s="137" t="s">
        <v>1</v>
      </c>
      <c r="C6" s="138"/>
      <c r="D6" s="138"/>
      <c r="E6" s="102" t="s">
        <v>2</v>
      </c>
      <c r="F6" s="102" t="s">
        <v>2</v>
      </c>
    </row>
    <row r="7" spans="1:7" s="2" customFormat="1" ht="21.75" customHeight="1" x14ac:dyDescent="0.25">
      <c r="A7" s="101" t="s">
        <v>152</v>
      </c>
      <c r="B7" s="139"/>
      <c r="C7" s="140"/>
      <c r="D7" s="140"/>
      <c r="E7" s="45" t="s">
        <v>112</v>
      </c>
      <c r="F7" s="45" t="s">
        <v>146</v>
      </c>
    </row>
    <row r="8" spans="1:7" s="2" customFormat="1" ht="30" customHeight="1" x14ac:dyDescent="0.25">
      <c r="A8" s="101" t="s">
        <v>153</v>
      </c>
      <c r="B8" s="5"/>
      <c r="C8" s="5" t="s">
        <v>3</v>
      </c>
      <c r="D8" s="5"/>
      <c r="E8" s="6">
        <f>SUM(E9:E11)</f>
        <v>150327500</v>
      </c>
      <c r="F8" s="6">
        <f>SUM(F9:F11)</f>
        <v>165674898</v>
      </c>
    </row>
    <row r="9" spans="1:7" s="2" customFormat="1" ht="18" customHeight="1" x14ac:dyDescent="0.25">
      <c r="A9" s="101" t="s">
        <v>154</v>
      </c>
      <c r="B9" s="2" t="s">
        <v>4</v>
      </c>
      <c r="C9" s="2" t="s">
        <v>5</v>
      </c>
      <c r="E9" s="7">
        <f>[1]Bevételek!F28</f>
        <v>2350000</v>
      </c>
      <c r="F9" s="7">
        <f>Bevételek!H38</f>
        <v>12967447</v>
      </c>
    </row>
    <row r="10" spans="1:7" s="2" customFormat="1" ht="16.5" customHeight="1" x14ac:dyDescent="0.25">
      <c r="A10" s="101" t="s">
        <v>155</v>
      </c>
      <c r="B10" s="2" t="s">
        <v>6</v>
      </c>
      <c r="C10" s="2" t="s">
        <v>7</v>
      </c>
      <c r="E10" s="7">
        <f>[1]Bevételek!F29</f>
        <v>100</v>
      </c>
      <c r="F10" s="7">
        <f>Bevételek!H39</f>
        <v>102</v>
      </c>
    </row>
    <row r="11" spans="1:7" s="2" customFormat="1" ht="16.5" customHeight="1" x14ac:dyDescent="0.25">
      <c r="A11" s="101" t="s">
        <v>156</v>
      </c>
      <c r="B11" s="2" t="s">
        <v>8</v>
      </c>
      <c r="C11" s="2" t="s">
        <v>9</v>
      </c>
      <c r="E11" s="7">
        <f>[1]Bevételek!F30</f>
        <v>147977400</v>
      </c>
      <c r="F11" s="7">
        <f>Bevételek!H40</f>
        <v>152707349</v>
      </c>
    </row>
    <row r="12" spans="1:7" s="2" customFormat="1" ht="29.25" customHeight="1" x14ac:dyDescent="0.25">
      <c r="A12" s="101" t="s">
        <v>157</v>
      </c>
      <c r="B12" s="8" t="s">
        <v>10</v>
      </c>
      <c r="C12" s="8"/>
      <c r="D12" s="8"/>
      <c r="E12" s="9">
        <f>SUM(E8)</f>
        <v>150327500</v>
      </c>
      <c r="F12" s="9">
        <f>SUM(F8)</f>
        <v>165674898</v>
      </c>
      <c r="G12" s="130"/>
    </row>
    <row r="13" spans="1:7" s="2" customFormat="1" ht="36.75" customHeight="1" x14ac:dyDescent="0.25">
      <c r="A13" s="101" t="s">
        <v>158</v>
      </c>
      <c r="B13" s="5"/>
      <c r="C13" s="5" t="s">
        <v>11</v>
      </c>
      <c r="D13" s="5"/>
      <c r="E13" s="6">
        <f>SUM(E14:E18)</f>
        <v>150327500.081</v>
      </c>
      <c r="F13" s="6">
        <f>SUM(F14:F18)</f>
        <v>165674898</v>
      </c>
    </row>
    <row r="14" spans="1:7" s="2" customFormat="1" ht="18" customHeight="1" x14ac:dyDescent="0.25">
      <c r="A14" s="101" t="s">
        <v>159</v>
      </c>
      <c r="B14" s="2" t="s">
        <v>12</v>
      </c>
      <c r="C14" s="2" t="s">
        <v>13</v>
      </c>
      <c r="E14" s="7">
        <f>[1]Kiadások!F61</f>
        <v>113800000</v>
      </c>
      <c r="F14" s="7">
        <f>Kiadások!H105</f>
        <v>124791821</v>
      </c>
    </row>
    <row r="15" spans="1:7" s="2" customFormat="1" ht="18" customHeight="1" x14ac:dyDescent="0.25">
      <c r="A15" s="101" t="s">
        <v>160</v>
      </c>
      <c r="B15" s="2" t="s">
        <v>14</v>
      </c>
      <c r="C15" s="2" t="s">
        <v>15</v>
      </c>
      <c r="E15" s="7">
        <f>[1]Kiadások!F62</f>
        <v>15666500</v>
      </c>
      <c r="F15" s="7">
        <f>Kiadások!H106</f>
        <v>17049748</v>
      </c>
    </row>
    <row r="16" spans="1:7" s="2" customFormat="1" ht="16.5" customHeight="1" x14ac:dyDescent="0.25">
      <c r="A16" s="101" t="s">
        <v>161</v>
      </c>
      <c r="B16" s="2" t="s">
        <v>16</v>
      </c>
      <c r="C16" s="2" t="s">
        <v>17</v>
      </c>
      <c r="E16" s="7">
        <f>[1]Kiadások!F63</f>
        <v>18211000</v>
      </c>
      <c r="F16" s="7">
        <f>Kiadások!H107</f>
        <v>20629014</v>
      </c>
    </row>
    <row r="17" spans="1:6" s="2" customFormat="1" ht="16.5" customHeight="1" x14ac:dyDescent="0.25">
      <c r="A17" s="101" t="s">
        <v>162</v>
      </c>
      <c r="B17" s="2" t="s">
        <v>18</v>
      </c>
      <c r="C17" s="134" t="s">
        <v>19</v>
      </c>
      <c r="D17" s="134"/>
      <c r="E17" s="7">
        <f>[1]Kiadások!F64</f>
        <v>2500000</v>
      </c>
      <c r="F17" s="7">
        <f>Kiadások!H108</f>
        <v>2500000</v>
      </c>
    </row>
    <row r="18" spans="1:6" s="2" customFormat="1" ht="16.5" customHeight="1" x14ac:dyDescent="0.25">
      <c r="A18" s="101" t="s">
        <v>163</v>
      </c>
      <c r="B18" s="2" t="s">
        <v>128</v>
      </c>
      <c r="C18" s="134" t="s">
        <v>121</v>
      </c>
      <c r="D18" s="134"/>
      <c r="E18" s="7">
        <f>[1]Kiadások!F53</f>
        <v>150000.08100000001</v>
      </c>
      <c r="F18" s="7">
        <f>Kiadások!H109</f>
        <v>704315</v>
      </c>
    </row>
    <row r="19" spans="1:6" s="2" customFormat="1" ht="30.75" customHeight="1" x14ac:dyDescent="0.25">
      <c r="A19" s="101" t="s">
        <v>164</v>
      </c>
      <c r="B19" s="8" t="s">
        <v>20</v>
      </c>
      <c r="C19" s="8"/>
      <c r="D19" s="8"/>
      <c r="E19" s="9">
        <f>SUM(E13)</f>
        <v>150327500.081</v>
      </c>
      <c r="F19" s="9">
        <f>SUM(F13)</f>
        <v>165674898</v>
      </c>
    </row>
    <row r="20" spans="1:6" s="2" customFormat="1" ht="15.75" customHeight="1" x14ac:dyDescent="0.25">
      <c r="B20" s="5"/>
      <c r="C20" s="5"/>
      <c r="D20" s="5"/>
      <c r="E20" s="10"/>
      <c r="F20" s="10"/>
    </row>
    <row r="21" spans="1:6" s="2" customFormat="1" x14ac:dyDescent="0.25">
      <c r="E21" s="11"/>
      <c r="F21" s="111"/>
    </row>
    <row r="22" spans="1:6" s="2" customFormat="1" x14ac:dyDescent="0.25"/>
  </sheetData>
  <sheetProtection selectLockedCells="1" selectUnlockedCells="1"/>
  <mergeCells count="6">
    <mergeCell ref="C18:D18"/>
    <mergeCell ref="B1:D1"/>
    <mergeCell ref="B2:F2"/>
    <mergeCell ref="B3:F3"/>
    <mergeCell ref="B6:D7"/>
    <mergeCell ref="C17:D17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77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view="pageBreakPreview" topLeftCell="A10" zoomScaleNormal="100" zoomScaleSheetLayoutView="100" workbookViewId="0">
      <selection activeCell="F25" sqref="F25"/>
    </sheetView>
  </sheetViews>
  <sheetFormatPr defaultColWidth="8.875" defaultRowHeight="15.75" x14ac:dyDescent="0.25"/>
  <cols>
    <col min="1" max="1" width="4.25" style="3" customWidth="1"/>
    <col min="2" max="2" width="4" customWidth="1"/>
    <col min="3" max="3" width="5.625" customWidth="1"/>
    <col min="4" max="5" width="6" customWidth="1"/>
    <col min="6" max="6" width="45.375" customWidth="1"/>
    <col min="7" max="8" width="18.625" style="12" customWidth="1"/>
  </cols>
  <sheetData>
    <row r="1" spans="1:8" s="2" customFormat="1" ht="21.75" customHeight="1" x14ac:dyDescent="0.25">
      <c r="A1" s="3"/>
      <c r="B1" s="136" t="s">
        <v>0</v>
      </c>
      <c r="C1" s="136"/>
      <c r="D1" s="136"/>
      <c r="E1" s="136"/>
      <c r="F1" s="136"/>
      <c r="G1" s="136"/>
      <c r="H1" s="136"/>
    </row>
    <row r="2" spans="1:8" s="2" customFormat="1" ht="23.25" customHeight="1" x14ac:dyDescent="0.25">
      <c r="A2" s="3"/>
      <c r="B2" s="136" t="s">
        <v>129</v>
      </c>
      <c r="C2" s="136"/>
      <c r="D2" s="136"/>
      <c r="E2" s="136"/>
      <c r="F2" s="136"/>
      <c r="G2" s="136"/>
      <c r="H2" s="136"/>
    </row>
    <row r="3" spans="1:8" s="2" customFormat="1" ht="27" customHeight="1" x14ac:dyDescent="0.25">
      <c r="A3" s="3"/>
      <c r="B3" s="136" t="s">
        <v>21</v>
      </c>
      <c r="C3" s="136"/>
      <c r="D3" s="136"/>
      <c r="E3" s="136"/>
      <c r="F3" s="136"/>
      <c r="G3" s="136"/>
      <c r="H3" s="136"/>
    </row>
    <row r="4" spans="1:8" s="2" customFormat="1" ht="20.25" customHeight="1" x14ac:dyDescent="0.25">
      <c r="A4" s="100" t="s">
        <v>174</v>
      </c>
      <c r="B4" s="103" t="s">
        <v>166</v>
      </c>
      <c r="C4" s="103" t="s">
        <v>167</v>
      </c>
      <c r="D4" s="103" t="s">
        <v>168</v>
      </c>
      <c r="E4" s="103" t="s">
        <v>169</v>
      </c>
      <c r="F4" s="103" t="s">
        <v>170</v>
      </c>
      <c r="G4" s="103" t="s">
        <v>197</v>
      </c>
      <c r="H4" s="103" t="s">
        <v>198</v>
      </c>
    </row>
    <row r="5" spans="1:8" s="5" customFormat="1" ht="29.25" customHeight="1" x14ac:dyDescent="0.25">
      <c r="A5" s="103" t="s">
        <v>151</v>
      </c>
      <c r="B5" s="144" t="s">
        <v>22</v>
      </c>
      <c r="C5" s="144"/>
      <c r="D5" s="144"/>
      <c r="E5" s="144"/>
      <c r="F5" s="144"/>
      <c r="G5" s="110" t="s">
        <v>2</v>
      </c>
      <c r="H5" s="110" t="s">
        <v>2</v>
      </c>
    </row>
    <row r="6" spans="1:8" s="5" customFormat="1" ht="16.5" customHeight="1" x14ac:dyDescent="0.25">
      <c r="A6" s="103" t="s">
        <v>152</v>
      </c>
      <c r="B6" s="145"/>
      <c r="C6" s="146"/>
      <c r="D6" s="146"/>
      <c r="E6" s="146"/>
      <c r="F6" s="146"/>
      <c r="G6" s="4" t="s">
        <v>112</v>
      </c>
      <c r="H6" s="4" t="s">
        <v>146</v>
      </c>
    </row>
    <row r="7" spans="1:8" s="5" customFormat="1" ht="34.9" customHeight="1" x14ac:dyDescent="0.25">
      <c r="A7" s="103" t="s">
        <v>153</v>
      </c>
      <c r="B7" s="142" t="s">
        <v>23</v>
      </c>
      <c r="C7" s="143"/>
      <c r="D7" s="143"/>
      <c r="E7" s="143"/>
      <c r="F7" s="143"/>
      <c r="G7" s="41">
        <f>G8+G10</f>
        <v>2350100</v>
      </c>
      <c r="H7" s="41">
        <f>H8+H10</f>
        <v>2698950</v>
      </c>
    </row>
    <row r="8" spans="1:8" s="5" customFormat="1" ht="18" customHeight="1" x14ac:dyDescent="0.25">
      <c r="A8" s="103" t="s">
        <v>154</v>
      </c>
      <c r="B8" s="5" t="s">
        <v>4</v>
      </c>
      <c r="C8" s="5" t="s">
        <v>24</v>
      </c>
      <c r="F8" s="13"/>
      <c r="G8" s="14">
        <f>G9</f>
        <v>2350000</v>
      </c>
      <c r="H8" s="14">
        <f>H9</f>
        <v>2698850</v>
      </c>
    </row>
    <row r="9" spans="1:8" s="2" customFormat="1" ht="18" customHeight="1" x14ac:dyDescent="0.25">
      <c r="A9" s="103" t="s">
        <v>155</v>
      </c>
      <c r="C9" s="2" t="s">
        <v>25</v>
      </c>
      <c r="D9" s="2" t="s">
        <v>26</v>
      </c>
      <c r="F9" s="15"/>
      <c r="G9" s="16">
        <f>1600000+750000</f>
        <v>2350000</v>
      </c>
      <c r="H9" s="16">
        <f>1600000+759000+339850</f>
        <v>2698850</v>
      </c>
    </row>
    <row r="10" spans="1:8" s="5" customFormat="1" ht="18" customHeight="1" x14ac:dyDescent="0.25">
      <c r="A10" s="103" t="s">
        <v>156</v>
      </c>
      <c r="B10" s="5" t="s">
        <v>6</v>
      </c>
      <c r="C10" s="5" t="s">
        <v>7</v>
      </c>
      <c r="F10" s="13"/>
      <c r="G10" s="17">
        <f>SUM(G11:G12)</f>
        <v>100</v>
      </c>
      <c r="H10" s="17">
        <f>SUM(H11:H12)</f>
        <v>100</v>
      </c>
    </row>
    <row r="11" spans="1:8" s="2" customFormat="1" ht="18" customHeight="1" x14ac:dyDescent="0.25">
      <c r="A11" s="103" t="s">
        <v>157</v>
      </c>
      <c r="C11" s="2" t="s">
        <v>27</v>
      </c>
      <c r="D11" s="141" t="s">
        <v>28</v>
      </c>
      <c r="E11" s="141"/>
      <c r="F11" s="141"/>
      <c r="G11" s="16">
        <v>100</v>
      </c>
      <c r="H11" s="16">
        <v>100</v>
      </c>
    </row>
    <row r="12" spans="1:8" s="2" customFormat="1" ht="18" customHeight="1" x14ac:dyDescent="0.25">
      <c r="A12" s="103" t="s">
        <v>158</v>
      </c>
      <c r="C12" s="2" t="s">
        <v>29</v>
      </c>
      <c r="D12" s="19" t="s">
        <v>30</v>
      </c>
      <c r="E12" s="19"/>
      <c r="F12" s="18"/>
      <c r="G12" s="16">
        <v>0</v>
      </c>
      <c r="H12" s="16">
        <v>0</v>
      </c>
    </row>
    <row r="13" spans="1:8" s="5" customFormat="1" ht="34.15" customHeight="1" x14ac:dyDescent="0.25">
      <c r="A13" s="103" t="s">
        <v>159</v>
      </c>
      <c r="B13" s="142" t="s">
        <v>142</v>
      </c>
      <c r="C13" s="143"/>
      <c r="D13" s="143"/>
      <c r="E13" s="143"/>
      <c r="F13" s="143"/>
      <c r="G13" s="74">
        <f t="shared" ref="G13:H21" si="0">G14</f>
        <v>0</v>
      </c>
      <c r="H13" s="74">
        <f>H14+H17</f>
        <v>5542309</v>
      </c>
    </row>
    <row r="14" spans="1:8" s="2" customFormat="1" ht="15.75" customHeight="1" x14ac:dyDescent="0.25">
      <c r="A14" s="103" t="s">
        <v>160</v>
      </c>
      <c r="B14" s="20" t="s">
        <v>4</v>
      </c>
      <c r="C14" s="5" t="s">
        <v>5</v>
      </c>
      <c r="D14" s="5"/>
      <c r="E14" s="75"/>
      <c r="F14" s="76"/>
      <c r="G14" s="77">
        <f t="shared" si="0"/>
        <v>0</v>
      </c>
      <c r="H14" s="77">
        <f t="shared" si="0"/>
        <v>5542307</v>
      </c>
    </row>
    <row r="15" spans="1:8" s="2" customFormat="1" ht="15.75" customHeight="1" x14ac:dyDescent="0.25">
      <c r="A15" s="103" t="s">
        <v>161</v>
      </c>
      <c r="B15" s="20"/>
      <c r="C15" s="19" t="s">
        <v>25</v>
      </c>
      <c r="D15" s="2" t="s">
        <v>26</v>
      </c>
      <c r="E15" s="5"/>
      <c r="F15" s="13"/>
      <c r="G15" s="23">
        <f t="shared" si="0"/>
        <v>0</v>
      </c>
      <c r="H15" s="23">
        <f t="shared" si="0"/>
        <v>5542307</v>
      </c>
    </row>
    <row r="16" spans="1:8" s="2" customFormat="1" ht="15.75" customHeight="1" x14ac:dyDescent="0.25">
      <c r="A16" s="103" t="s">
        <v>162</v>
      </c>
      <c r="B16" s="20"/>
      <c r="C16" s="19"/>
      <c r="E16" s="5"/>
      <c r="F16" s="15" t="s">
        <v>143</v>
      </c>
      <c r="G16" s="23">
        <v>0</v>
      </c>
      <c r="H16" s="129">
        <f>5511177+31130</f>
        <v>5542307</v>
      </c>
    </row>
    <row r="17" spans="1:8" s="5" customFormat="1" ht="18" customHeight="1" x14ac:dyDescent="0.25">
      <c r="A17" s="103" t="s">
        <v>163</v>
      </c>
      <c r="B17" s="5" t="s">
        <v>6</v>
      </c>
      <c r="C17" s="5" t="s">
        <v>7</v>
      </c>
      <c r="F17" s="13"/>
      <c r="G17" s="17">
        <f>SUM(G18:G18)</f>
        <v>0</v>
      </c>
      <c r="H17" s="17">
        <f>SUM(H18:H18)</f>
        <v>2</v>
      </c>
    </row>
    <row r="18" spans="1:8" s="2" customFormat="1" ht="18" customHeight="1" x14ac:dyDescent="0.25">
      <c r="A18" s="103" t="s">
        <v>164</v>
      </c>
      <c r="C18" s="2" t="s">
        <v>29</v>
      </c>
      <c r="D18" s="19" t="s">
        <v>173</v>
      </c>
      <c r="E18" s="19"/>
      <c r="F18" s="18"/>
      <c r="G18" s="16">
        <v>0</v>
      </c>
      <c r="H18" s="16">
        <v>2</v>
      </c>
    </row>
    <row r="19" spans="1:8" s="5" customFormat="1" ht="34.15" customHeight="1" x14ac:dyDescent="0.25">
      <c r="A19" s="103" t="s">
        <v>165</v>
      </c>
      <c r="B19" s="142" t="s">
        <v>171</v>
      </c>
      <c r="C19" s="143"/>
      <c r="D19" s="143"/>
      <c r="E19" s="143"/>
      <c r="F19" s="143"/>
      <c r="G19" s="74">
        <f t="shared" si="0"/>
        <v>0</v>
      </c>
      <c r="H19" s="74">
        <f t="shared" si="0"/>
        <v>4726290</v>
      </c>
    </row>
    <row r="20" spans="1:8" s="2" customFormat="1" ht="15.75" customHeight="1" x14ac:dyDescent="0.25">
      <c r="A20" s="103" t="s">
        <v>175</v>
      </c>
      <c r="B20" s="20" t="s">
        <v>4</v>
      </c>
      <c r="C20" s="5" t="s">
        <v>5</v>
      </c>
      <c r="D20" s="5"/>
      <c r="E20" s="75"/>
      <c r="F20" s="76"/>
      <c r="G20" s="77">
        <f t="shared" si="0"/>
        <v>0</v>
      </c>
      <c r="H20" s="77">
        <f t="shared" si="0"/>
        <v>4726290</v>
      </c>
    </row>
    <row r="21" spans="1:8" s="2" customFormat="1" ht="15.75" customHeight="1" x14ac:dyDescent="0.25">
      <c r="A21" s="103" t="s">
        <v>176</v>
      </c>
      <c r="B21" s="20"/>
      <c r="C21" s="19" t="s">
        <v>25</v>
      </c>
      <c r="D21" s="2" t="s">
        <v>26</v>
      </c>
      <c r="E21" s="5"/>
      <c r="F21" s="13"/>
      <c r="G21" s="23">
        <f t="shared" si="0"/>
        <v>0</v>
      </c>
      <c r="H21" s="23">
        <f t="shared" si="0"/>
        <v>4726290</v>
      </c>
    </row>
    <row r="22" spans="1:8" s="2" customFormat="1" ht="15.75" customHeight="1" x14ac:dyDescent="0.25">
      <c r="A22" s="103" t="s">
        <v>177</v>
      </c>
      <c r="B22" s="20"/>
      <c r="C22" s="19"/>
      <c r="E22" s="5"/>
      <c r="F22" s="15" t="s">
        <v>269</v>
      </c>
      <c r="G22" s="23">
        <v>0</v>
      </c>
      <c r="H22" s="23">
        <f>3537902+1188388</f>
        <v>4726290</v>
      </c>
    </row>
    <row r="23" spans="1:8" s="2" customFormat="1" ht="36" customHeight="1" x14ac:dyDescent="0.25">
      <c r="A23" s="103" t="s">
        <v>178</v>
      </c>
      <c r="B23" s="142" t="s">
        <v>31</v>
      </c>
      <c r="C23" s="143"/>
      <c r="D23" s="143"/>
      <c r="E23" s="143"/>
      <c r="F23" s="143"/>
      <c r="G23" s="41">
        <f t="shared" ref="G23:G24" si="1">G24</f>
        <v>147977400</v>
      </c>
      <c r="H23" s="41">
        <f t="shared" ref="H23:H24" si="2">H24</f>
        <v>152707349</v>
      </c>
    </row>
    <row r="24" spans="1:8" s="2" customFormat="1" ht="18" customHeight="1" x14ac:dyDescent="0.25">
      <c r="A24" s="103" t="s">
        <v>179</v>
      </c>
      <c r="B24" s="5" t="s">
        <v>8</v>
      </c>
      <c r="C24" s="5" t="s">
        <v>9</v>
      </c>
      <c r="D24" s="5"/>
      <c r="E24" s="5"/>
      <c r="F24" s="13"/>
      <c r="G24" s="21">
        <f t="shared" si="1"/>
        <v>147977400</v>
      </c>
      <c r="H24" s="21">
        <f t="shared" si="2"/>
        <v>152707349</v>
      </c>
    </row>
    <row r="25" spans="1:8" s="2" customFormat="1" ht="18" customHeight="1" x14ac:dyDescent="0.25">
      <c r="A25" s="103" t="s">
        <v>180</v>
      </c>
      <c r="B25" s="5"/>
      <c r="C25" s="2" t="s">
        <v>32</v>
      </c>
      <c r="D25" s="2" t="s">
        <v>33</v>
      </c>
      <c r="F25" s="15"/>
      <c r="G25" s="22">
        <f>G26+G27</f>
        <v>147977400</v>
      </c>
      <c r="H25" s="22">
        <f>H26+H27</f>
        <v>152707349</v>
      </c>
    </row>
    <row r="26" spans="1:8" s="2" customFormat="1" ht="18" customHeight="1" x14ac:dyDescent="0.25">
      <c r="A26" s="103" t="s">
        <v>181</v>
      </c>
      <c r="B26" s="20"/>
      <c r="C26" s="19"/>
      <c r="D26" s="2" t="s">
        <v>34</v>
      </c>
      <c r="E26" s="5"/>
      <c r="F26" s="13"/>
      <c r="G26" s="23">
        <v>13000000</v>
      </c>
      <c r="H26" s="23">
        <v>16065976</v>
      </c>
    </row>
    <row r="27" spans="1:8" s="2" customFormat="1" ht="18" customHeight="1" x14ac:dyDescent="0.25">
      <c r="A27" s="103" t="s">
        <v>182</v>
      </c>
      <c r="D27" s="2" t="s">
        <v>35</v>
      </c>
      <c r="E27" s="2" t="s">
        <v>36</v>
      </c>
      <c r="F27" s="15"/>
      <c r="G27" s="23">
        <f>SUM(G28:G36)</f>
        <v>134977400</v>
      </c>
      <c r="H27" s="23">
        <f>SUM(H28:H36)</f>
        <v>136641373</v>
      </c>
    </row>
    <row r="28" spans="1:8" s="2" customFormat="1" ht="18" customHeight="1" x14ac:dyDescent="0.25">
      <c r="A28" s="103" t="s">
        <v>183</v>
      </c>
      <c r="F28" s="15" t="s">
        <v>37</v>
      </c>
      <c r="G28" s="23">
        <v>71133217</v>
      </c>
      <c r="H28" s="23">
        <f>71133217+537171</f>
        <v>71670388</v>
      </c>
    </row>
    <row r="29" spans="1:8" s="2" customFormat="1" ht="18" customHeight="1" x14ac:dyDescent="0.25">
      <c r="A29" s="103" t="s">
        <v>184</v>
      </c>
      <c r="F29" s="18" t="s">
        <v>38</v>
      </c>
      <c r="G29" s="23">
        <v>15407061</v>
      </c>
      <c r="H29" s="23">
        <f>15407061+271923</f>
        <v>15678984</v>
      </c>
    </row>
    <row r="30" spans="1:8" s="2" customFormat="1" ht="18" customHeight="1" x14ac:dyDescent="0.25">
      <c r="A30" s="103" t="s">
        <v>185</v>
      </c>
      <c r="F30" s="18" t="s">
        <v>126</v>
      </c>
      <c r="G30" s="23">
        <v>1484262</v>
      </c>
      <c r="H30" s="23">
        <f>1484262+26196</f>
        <v>1510458</v>
      </c>
    </row>
    <row r="31" spans="1:8" s="2" customFormat="1" ht="18" customHeight="1" x14ac:dyDescent="0.25">
      <c r="A31" s="103" t="s">
        <v>186</v>
      </c>
      <c r="F31" s="18" t="s">
        <v>39</v>
      </c>
      <c r="G31" s="23">
        <v>5247181</v>
      </c>
      <c r="H31" s="23">
        <f>5247181+92609</f>
        <v>5339790</v>
      </c>
    </row>
    <row r="32" spans="1:8" s="2" customFormat="1" ht="18" customHeight="1" x14ac:dyDescent="0.25">
      <c r="A32" s="103" t="s">
        <v>187</v>
      </c>
      <c r="F32" s="18" t="s">
        <v>40</v>
      </c>
      <c r="G32" s="23">
        <v>7860319</v>
      </c>
      <c r="H32" s="23">
        <f>7860319+138729</f>
        <v>7999048</v>
      </c>
    </row>
    <row r="33" spans="1:8" s="2" customFormat="1" ht="18" customHeight="1" x14ac:dyDescent="0.25">
      <c r="A33" s="103" t="s">
        <v>188</v>
      </c>
      <c r="F33" s="18" t="s">
        <v>41</v>
      </c>
      <c r="G33" s="23">
        <v>4390071</v>
      </c>
      <c r="H33" s="23">
        <f>4390071+77481</f>
        <v>4467552</v>
      </c>
    </row>
    <row r="34" spans="1:8" s="2" customFormat="1" ht="18" customHeight="1" x14ac:dyDescent="0.25">
      <c r="A34" s="103" t="s">
        <v>189</v>
      </c>
      <c r="F34" s="18" t="s">
        <v>42</v>
      </c>
      <c r="G34" s="23">
        <v>2801284</v>
      </c>
      <c r="H34" s="23">
        <f>2801284+49441</f>
        <v>2850725</v>
      </c>
    </row>
    <row r="35" spans="1:8" s="2" customFormat="1" ht="18" customHeight="1" x14ac:dyDescent="0.25">
      <c r="A35" s="103" t="s">
        <v>190</v>
      </c>
      <c r="F35" s="18" t="s">
        <v>43</v>
      </c>
      <c r="G35" s="23">
        <v>1463357</v>
      </c>
      <c r="H35" s="23">
        <f>1463357+25827</f>
        <v>1489184</v>
      </c>
    </row>
    <row r="36" spans="1:8" s="2" customFormat="1" ht="18" customHeight="1" x14ac:dyDescent="0.25">
      <c r="A36" s="103" t="s">
        <v>191</v>
      </c>
      <c r="F36" s="18" t="s">
        <v>44</v>
      </c>
      <c r="G36" s="23">
        <v>25190648</v>
      </c>
      <c r="H36" s="23">
        <f>25190648+444596</f>
        <v>25635244</v>
      </c>
    </row>
    <row r="37" spans="1:8" s="2" customFormat="1" ht="20.45" customHeight="1" x14ac:dyDescent="0.25">
      <c r="A37" s="103" t="s">
        <v>192</v>
      </c>
      <c r="B37" s="107" t="s">
        <v>45</v>
      </c>
      <c r="C37" s="35"/>
      <c r="D37" s="35"/>
      <c r="E37" s="35"/>
      <c r="F37" s="36"/>
      <c r="G37" s="40">
        <f>G7+G23</f>
        <v>150327500</v>
      </c>
      <c r="H37" s="40">
        <f>H7+H13+H19+H23</f>
        <v>165674898</v>
      </c>
    </row>
    <row r="38" spans="1:8" s="2" customFormat="1" ht="18" customHeight="1" x14ac:dyDescent="0.25">
      <c r="A38" s="103" t="s">
        <v>193</v>
      </c>
      <c r="B38" s="20" t="s">
        <v>4</v>
      </c>
      <c r="C38" s="5" t="s">
        <v>5</v>
      </c>
      <c r="D38" s="20"/>
      <c r="E38" s="24"/>
      <c r="F38" s="21"/>
      <c r="G38" s="25">
        <f>G8</f>
        <v>2350000</v>
      </c>
      <c r="H38" s="25">
        <f>H8+H14+H20</f>
        <v>12967447</v>
      </c>
    </row>
    <row r="39" spans="1:8" s="2" customFormat="1" ht="18" customHeight="1" x14ac:dyDescent="0.25">
      <c r="A39" s="103" t="s">
        <v>194</v>
      </c>
      <c r="B39" s="5" t="s">
        <v>6</v>
      </c>
      <c r="C39" s="5" t="s">
        <v>7</v>
      </c>
      <c r="D39" s="5"/>
      <c r="E39" s="5"/>
      <c r="F39" s="5"/>
      <c r="G39" s="25">
        <f>G10</f>
        <v>100</v>
      </c>
      <c r="H39" s="25">
        <f>H10+H17</f>
        <v>102</v>
      </c>
    </row>
    <row r="40" spans="1:8" s="2" customFormat="1" ht="18" customHeight="1" x14ac:dyDescent="0.25">
      <c r="A40" s="103" t="s">
        <v>195</v>
      </c>
      <c r="B40" s="5" t="s">
        <v>8</v>
      </c>
      <c r="C40" s="5" t="s">
        <v>9</v>
      </c>
      <c r="D40" s="5"/>
      <c r="E40" s="5"/>
      <c r="F40" s="20"/>
      <c r="G40" s="26">
        <f>G24</f>
        <v>147977400</v>
      </c>
      <c r="H40" s="26">
        <f>H24</f>
        <v>152707349</v>
      </c>
    </row>
    <row r="41" spans="1:8" s="2" customFormat="1" ht="21.6" customHeight="1" x14ac:dyDescent="0.25">
      <c r="A41" s="103" t="s">
        <v>196</v>
      </c>
      <c r="B41" s="108" t="s">
        <v>10</v>
      </c>
      <c r="C41" s="37"/>
      <c r="D41" s="37"/>
      <c r="E41" s="37"/>
      <c r="F41" s="37"/>
      <c r="G41" s="38">
        <f>SUM(G38:G40)</f>
        <v>150327500</v>
      </c>
      <c r="H41" s="38">
        <f>SUM(H38:H40)</f>
        <v>165674898</v>
      </c>
    </row>
    <row r="42" spans="1:8" s="2" customFormat="1" ht="18" customHeight="1" x14ac:dyDescent="0.25">
      <c r="A42" s="3"/>
      <c r="B42" s="1"/>
      <c r="C42" s="1"/>
      <c r="D42" s="1"/>
      <c r="E42" s="1"/>
      <c r="F42" s="1"/>
      <c r="G42" s="12"/>
      <c r="H42" s="44"/>
    </row>
    <row r="43" spans="1:8" s="2" customFormat="1" ht="18" customHeight="1" x14ac:dyDescent="0.25">
      <c r="A43" s="3"/>
      <c r="G43" s="12"/>
      <c r="H43" s="48"/>
    </row>
    <row r="44" spans="1:8" s="2" customFormat="1" ht="18" customHeight="1" x14ac:dyDescent="0.25">
      <c r="A44" s="3"/>
      <c r="G44" s="12"/>
      <c r="H44" s="49"/>
    </row>
    <row r="45" spans="1:8" s="2" customFormat="1" ht="18" customHeight="1" x14ac:dyDescent="0.25">
      <c r="A45" s="3"/>
      <c r="B45"/>
      <c r="C45"/>
      <c r="D45"/>
      <c r="E45"/>
      <c r="F45"/>
      <c r="G45" s="12"/>
      <c r="H45" s="78"/>
    </row>
    <row r="46" spans="1:8" s="2" customFormat="1" ht="18" customHeight="1" x14ac:dyDescent="0.25">
      <c r="A46" s="3"/>
      <c r="B46"/>
      <c r="C46"/>
      <c r="D46"/>
      <c r="E46"/>
      <c r="F46"/>
      <c r="G46" s="12"/>
      <c r="H46" s="12"/>
    </row>
    <row r="47" spans="1:8" s="2" customFormat="1" ht="18" customHeight="1" x14ac:dyDescent="0.25">
      <c r="A47" s="3"/>
      <c r="B47"/>
      <c r="C47"/>
      <c r="D47"/>
      <c r="E47"/>
      <c r="F47"/>
      <c r="G47" s="12"/>
      <c r="H47" s="12"/>
    </row>
    <row r="48" spans="1:8" s="2" customFormat="1" ht="18" customHeight="1" x14ac:dyDescent="0.25">
      <c r="A48" s="3"/>
      <c r="B48"/>
      <c r="C48"/>
      <c r="D48"/>
      <c r="E48"/>
      <c r="F48"/>
      <c r="G48" s="12"/>
      <c r="H48" s="12"/>
    </row>
    <row r="49" spans="1:8" s="2" customFormat="1" ht="18" customHeight="1" x14ac:dyDescent="0.25">
      <c r="A49" s="3"/>
      <c r="B49"/>
      <c r="C49"/>
      <c r="D49"/>
      <c r="E49"/>
      <c r="F49"/>
      <c r="G49" s="12"/>
      <c r="H49" s="12"/>
    </row>
    <row r="50" spans="1:8" s="5" customFormat="1" x14ac:dyDescent="0.25">
      <c r="A50" s="3"/>
      <c r="B50"/>
      <c r="C50"/>
      <c r="D50"/>
      <c r="E50"/>
      <c r="F50"/>
      <c r="G50" s="12"/>
      <c r="H50" s="12"/>
    </row>
    <row r="51" spans="1:8" s="1" customFormat="1" x14ac:dyDescent="0.25">
      <c r="A51" s="109"/>
      <c r="B51"/>
      <c r="C51"/>
      <c r="D51"/>
      <c r="E51"/>
      <c r="F51"/>
      <c r="G51" s="12"/>
      <c r="H51" s="12"/>
    </row>
    <row r="52" spans="1:8" s="2" customFormat="1" x14ac:dyDescent="0.25">
      <c r="A52" s="3"/>
      <c r="B52"/>
      <c r="C52"/>
      <c r="D52"/>
      <c r="E52"/>
      <c r="F52"/>
      <c r="G52" s="12"/>
      <c r="H52" s="12"/>
    </row>
    <row r="53" spans="1:8" s="2" customFormat="1" x14ac:dyDescent="0.25">
      <c r="A53" s="3"/>
      <c r="B53"/>
      <c r="C53"/>
      <c r="D53"/>
      <c r="E53"/>
      <c r="F53"/>
      <c r="G53" s="12"/>
      <c r="H53" s="12"/>
    </row>
  </sheetData>
  <sheetProtection selectLockedCells="1" selectUnlockedCells="1"/>
  <mergeCells count="9">
    <mergeCell ref="D11:F11"/>
    <mergeCell ref="B23:F23"/>
    <mergeCell ref="B1:H1"/>
    <mergeCell ref="B2:H2"/>
    <mergeCell ref="B3:H3"/>
    <mergeCell ref="B5:F6"/>
    <mergeCell ref="B7:F7"/>
    <mergeCell ref="B13:F13"/>
    <mergeCell ref="B19:F19"/>
  </mergeCells>
  <printOptions headings="1" gridLines="1"/>
  <pageMargins left="0.7" right="0.7" top="0.75" bottom="0.75" header="0.51180555555555551" footer="0.51180555555555551"/>
  <pageSetup paperSize="9" scale="73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"/>
  <sheetViews>
    <sheetView view="pageBreakPreview" topLeftCell="A4" zoomScale="90" zoomScaleNormal="90" zoomScaleSheetLayoutView="90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E16" sqref="E16"/>
    </sheetView>
  </sheetViews>
  <sheetFormatPr defaultColWidth="8.875" defaultRowHeight="15.75" x14ac:dyDescent="0.25"/>
  <cols>
    <col min="1" max="1" width="4.625" style="117" customWidth="1"/>
    <col min="2" max="2" width="3.75" customWidth="1"/>
    <col min="3" max="3" width="4.25" customWidth="1"/>
    <col min="4" max="4" width="6.125" customWidth="1"/>
    <col min="5" max="5" width="55.625" customWidth="1"/>
    <col min="6" max="6" width="8.75" style="2" customWidth="1"/>
    <col min="7" max="7" width="16.375" customWidth="1"/>
    <col min="8" max="8" width="17.125" style="2" customWidth="1"/>
  </cols>
  <sheetData>
    <row r="1" spans="1:8" s="1" customFormat="1" x14ac:dyDescent="0.25">
      <c r="A1" s="116"/>
      <c r="B1" s="135"/>
      <c r="C1" s="135"/>
      <c r="D1" s="135"/>
      <c r="E1" s="135"/>
      <c r="F1" s="135"/>
      <c r="H1" s="2"/>
    </row>
    <row r="2" spans="1:8" s="2" customFormat="1" x14ac:dyDescent="0.25">
      <c r="A2" s="117"/>
      <c r="B2" s="136" t="s">
        <v>0</v>
      </c>
      <c r="C2" s="136"/>
      <c r="D2" s="136"/>
      <c r="E2" s="136"/>
      <c r="F2" s="136"/>
      <c r="G2" s="136"/>
      <c r="H2" s="159"/>
    </row>
    <row r="3" spans="1:8" s="2" customFormat="1" x14ac:dyDescent="0.25">
      <c r="A3" s="117"/>
      <c r="B3" s="136" t="s">
        <v>127</v>
      </c>
      <c r="C3" s="136"/>
      <c r="D3" s="136"/>
      <c r="E3" s="136"/>
      <c r="F3" s="136"/>
      <c r="G3" s="136"/>
      <c r="H3" s="159"/>
    </row>
    <row r="4" spans="1:8" s="5" customFormat="1" ht="25.9" customHeight="1" x14ac:dyDescent="0.25">
      <c r="A4" s="115" t="s">
        <v>174</v>
      </c>
      <c r="B4" s="128" t="s">
        <v>166</v>
      </c>
      <c r="C4" s="114" t="s">
        <v>167</v>
      </c>
      <c r="D4" s="114" t="s">
        <v>168</v>
      </c>
      <c r="E4" s="114" t="s">
        <v>169</v>
      </c>
      <c r="F4" s="114" t="s">
        <v>170</v>
      </c>
      <c r="G4" s="114" t="s">
        <v>197</v>
      </c>
      <c r="H4" s="114" t="s">
        <v>198</v>
      </c>
    </row>
    <row r="5" spans="1:8" s="5" customFormat="1" ht="21" customHeight="1" x14ac:dyDescent="0.25">
      <c r="A5" s="114" t="s">
        <v>151</v>
      </c>
      <c r="B5" s="150" t="s">
        <v>46</v>
      </c>
      <c r="C5" s="151"/>
      <c r="D5" s="151"/>
      <c r="E5" s="151"/>
      <c r="F5" s="154" t="s">
        <v>119</v>
      </c>
      <c r="G5" s="113" t="s">
        <v>2</v>
      </c>
      <c r="H5" s="113" t="s">
        <v>2</v>
      </c>
    </row>
    <row r="6" spans="1:8" s="5" customFormat="1" ht="30.6" customHeight="1" x14ac:dyDescent="0.25">
      <c r="A6" s="114" t="s">
        <v>152</v>
      </c>
      <c r="B6" s="152"/>
      <c r="C6" s="153"/>
      <c r="D6" s="153"/>
      <c r="E6" s="153"/>
      <c r="F6" s="155"/>
      <c r="G6" s="43" t="s">
        <v>112</v>
      </c>
      <c r="H6" s="43" t="s">
        <v>146</v>
      </c>
    </row>
    <row r="7" spans="1:8" s="5" customFormat="1" ht="31.5" customHeight="1" x14ac:dyDescent="0.25">
      <c r="A7" s="114" t="s">
        <v>153</v>
      </c>
      <c r="B7" s="156" t="s">
        <v>23</v>
      </c>
      <c r="C7" s="156"/>
      <c r="D7" s="156"/>
      <c r="E7" s="156"/>
      <c r="F7" s="54">
        <v>23</v>
      </c>
      <c r="G7" s="53">
        <f>SUM(G8+G19+G22+G56)</f>
        <v>147827500.081</v>
      </c>
      <c r="H7" s="53">
        <f>SUM(H8+H19+H22+H56)</f>
        <v>152852626</v>
      </c>
    </row>
    <row r="8" spans="1:8" s="5" customFormat="1" x14ac:dyDescent="0.25">
      <c r="A8" s="114" t="s">
        <v>154</v>
      </c>
      <c r="B8" s="20" t="s">
        <v>12</v>
      </c>
      <c r="C8" s="20" t="s">
        <v>13</v>
      </c>
      <c r="D8" s="20"/>
      <c r="E8" s="46"/>
      <c r="F8" s="27"/>
      <c r="G8" s="51">
        <f t="shared" ref="G8" si="0">SUM(G9)</f>
        <v>113800000</v>
      </c>
      <c r="H8" s="51">
        <f>SUM(H9)+H17</f>
        <v>116643894</v>
      </c>
    </row>
    <row r="9" spans="1:8" s="2" customFormat="1" x14ac:dyDescent="0.25">
      <c r="A9" s="114" t="s">
        <v>155</v>
      </c>
      <c r="B9" s="19"/>
      <c r="C9" s="19" t="s">
        <v>47</v>
      </c>
      <c r="D9" s="19"/>
      <c r="E9" s="18" t="s">
        <v>48</v>
      </c>
      <c r="F9" s="28"/>
      <c r="G9" s="16">
        <f>SUM(G10:G16)</f>
        <v>113800000</v>
      </c>
      <c r="H9" s="16">
        <f>SUM(H10:H16)</f>
        <v>116443894</v>
      </c>
    </row>
    <row r="10" spans="1:8" s="2" customFormat="1" x14ac:dyDescent="0.25">
      <c r="A10" s="114" t="s">
        <v>156</v>
      </c>
      <c r="B10" s="19"/>
      <c r="C10" s="19"/>
      <c r="D10" s="19" t="s">
        <v>49</v>
      </c>
      <c r="E10" s="18" t="s">
        <v>50</v>
      </c>
      <c r="F10" s="28"/>
      <c r="G10" s="23">
        <v>99500000</v>
      </c>
      <c r="H10" s="23">
        <v>99500000</v>
      </c>
    </row>
    <row r="11" spans="1:8" s="2" customFormat="1" x14ac:dyDescent="0.25">
      <c r="A11" s="114" t="s">
        <v>157</v>
      </c>
      <c r="B11" s="19"/>
      <c r="C11" s="19"/>
      <c r="D11" s="19" t="s">
        <v>108</v>
      </c>
      <c r="E11" s="18"/>
      <c r="F11" s="28"/>
      <c r="G11" s="23">
        <v>5000000</v>
      </c>
      <c r="H11" s="129">
        <v>5512406</v>
      </c>
    </row>
    <row r="12" spans="1:8" s="2" customFormat="1" x14ac:dyDescent="0.25">
      <c r="A12" s="114" t="s">
        <v>158</v>
      </c>
      <c r="B12" s="19"/>
      <c r="C12" s="19"/>
      <c r="D12" s="19" t="s">
        <v>144</v>
      </c>
      <c r="E12" s="18" t="s">
        <v>145</v>
      </c>
      <c r="F12" s="28"/>
      <c r="G12" s="23">
        <v>0</v>
      </c>
      <c r="H12" s="23">
        <v>475372</v>
      </c>
    </row>
    <row r="13" spans="1:8" s="2" customFormat="1" x14ac:dyDescent="0.25">
      <c r="A13" s="114" t="s">
        <v>159</v>
      </c>
      <c r="B13" s="19"/>
      <c r="C13" s="19"/>
      <c r="D13" s="19" t="s">
        <v>106</v>
      </c>
      <c r="E13" s="18" t="s">
        <v>107</v>
      </c>
      <c r="F13" s="28"/>
      <c r="G13" s="23">
        <v>0</v>
      </c>
      <c r="H13" s="23">
        <v>149946</v>
      </c>
    </row>
    <row r="14" spans="1:8" s="2" customFormat="1" ht="17.45" customHeight="1" x14ac:dyDescent="0.25">
      <c r="A14" s="114" t="s">
        <v>160</v>
      </c>
      <c r="B14" s="19"/>
      <c r="C14" s="19"/>
      <c r="D14" s="19" t="s">
        <v>51</v>
      </c>
      <c r="E14" s="18" t="s">
        <v>52</v>
      </c>
      <c r="F14" s="28"/>
      <c r="G14" s="16">
        <v>6900000</v>
      </c>
      <c r="H14" s="16">
        <v>6900000</v>
      </c>
    </row>
    <row r="15" spans="1:8" s="2" customFormat="1" x14ac:dyDescent="0.25">
      <c r="A15" s="114" t="s">
        <v>161</v>
      </c>
      <c r="B15" s="19"/>
      <c r="C15" s="19"/>
      <c r="D15" s="19" t="s">
        <v>53</v>
      </c>
      <c r="E15" s="18" t="s">
        <v>54</v>
      </c>
      <c r="F15" s="28"/>
      <c r="G15" s="23">
        <v>1250000</v>
      </c>
      <c r="H15" s="23">
        <v>1250000</v>
      </c>
    </row>
    <row r="16" spans="1:8" s="2" customFormat="1" x14ac:dyDescent="0.25">
      <c r="A16" s="114" t="s">
        <v>162</v>
      </c>
      <c r="B16" s="19"/>
      <c r="C16" s="19"/>
      <c r="D16" s="19" t="s">
        <v>55</v>
      </c>
      <c r="E16" s="18" t="s">
        <v>56</v>
      </c>
      <c r="F16" s="28"/>
      <c r="G16" s="23">
        <f>750000+400000</f>
        <v>1150000</v>
      </c>
      <c r="H16" s="129">
        <f>759000+900000+997170</f>
        <v>2656170</v>
      </c>
    </row>
    <row r="17" spans="1:8" s="2" customFormat="1" x14ac:dyDescent="0.25">
      <c r="A17" s="114" t="s">
        <v>163</v>
      </c>
      <c r="B17" s="126"/>
      <c r="C17" s="19" t="s">
        <v>132</v>
      </c>
      <c r="D17" s="19"/>
      <c r="E17" s="127" t="s">
        <v>133</v>
      </c>
      <c r="F17" s="28"/>
      <c r="G17" s="23">
        <v>0</v>
      </c>
      <c r="H17" s="23">
        <f>H18</f>
        <v>200000</v>
      </c>
    </row>
    <row r="18" spans="1:8" s="2" customFormat="1" x14ac:dyDescent="0.25">
      <c r="A18" s="114" t="s">
        <v>164</v>
      </c>
      <c r="B18" s="19"/>
      <c r="C18" s="19"/>
      <c r="D18" s="19" t="s">
        <v>136</v>
      </c>
      <c r="E18" s="94" t="s">
        <v>147</v>
      </c>
      <c r="F18" s="95"/>
      <c r="G18" s="96">
        <v>0</v>
      </c>
      <c r="H18" s="96">
        <v>200000</v>
      </c>
    </row>
    <row r="19" spans="1:8" s="5" customFormat="1" ht="18" customHeight="1" x14ac:dyDescent="0.25">
      <c r="A19" s="114" t="s">
        <v>165</v>
      </c>
      <c r="B19" s="20" t="s">
        <v>14</v>
      </c>
      <c r="C19" s="20" t="s">
        <v>15</v>
      </c>
      <c r="E19" s="13"/>
      <c r="F19" s="13"/>
      <c r="G19" s="51">
        <f t="shared" ref="G19" si="1">SUM(G20:G21)</f>
        <v>15666500</v>
      </c>
      <c r="H19" s="132">
        <f t="shared" ref="H19" si="2">SUM(H20:H21)</f>
        <v>15971028</v>
      </c>
    </row>
    <row r="20" spans="1:8" s="2" customFormat="1" x14ac:dyDescent="0.25">
      <c r="A20" s="114" t="s">
        <v>175</v>
      </c>
      <c r="B20" s="19"/>
      <c r="C20" s="19"/>
      <c r="D20" s="2" t="s">
        <v>57</v>
      </c>
      <c r="E20" s="15"/>
      <c r="F20" s="15"/>
      <c r="G20" s="23">
        <f>(G10+G11+G12+G14+G16)*0.13</f>
        <v>14631500</v>
      </c>
      <c r="H20" s="93">
        <v>14936028</v>
      </c>
    </row>
    <row r="21" spans="1:8" s="2" customFormat="1" x14ac:dyDescent="0.25">
      <c r="A21" s="114" t="s">
        <v>176</v>
      </c>
      <c r="B21" s="19"/>
      <c r="C21" s="19"/>
      <c r="D21" s="2" t="s">
        <v>58</v>
      </c>
      <c r="E21" s="15"/>
      <c r="F21" s="15"/>
      <c r="G21" s="23">
        <v>1035000</v>
      </c>
      <c r="H21" s="93">
        <v>1035000</v>
      </c>
    </row>
    <row r="22" spans="1:8" s="5" customFormat="1" x14ac:dyDescent="0.25">
      <c r="A22" s="114" t="s">
        <v>177</v>
      </c>
      <c r="B22" s="20" t="s">
        <v>16</v>
      </c>
      <c r="C22" s="20" t="s">
        <v>17</v>
      </c>
      <c r="D22" s="20"/>
      <c r="E22" s="46"/>
      <c r="F22" s="27"/>
      <c r="G22" s="51">
        <f>SUM(G23+G30+G36+G51+G53)</f>
        <v>18211000</v>
      </c>
      <c r="H22" s="51">
        <f>SUM(H23+H30+H36+H51+H53)</f>
        <v>20021704</v>
      </c>
    </row>
    <row r="23" spans="1:8" s="2" customFormat="1" x14ac:dyDescent="0.25">
      <c r="A23" s="114" t="s">
        <v>178</v>
      </c>
      <c r="B23" s="19"/>
      <c r="C23" s="19" t="s">
        <v>59</v>
      </c>
      <c r="D23" s="19"/>
      <c r="E23" s="18" t="s">
        <v>60</v>
      </c>
      <c r="F23" s="28"/>
      <c r="G23" s="16">
        <f t="shared" ref="G23" si="3">SUM(G24+G26)</f>
        <v>2450000</v>
      </c>
      <c r="H23" s="16">
        <f t="shared" ref="H23" si="4">SUM(H24+H26)</f>
        <v>2760704</v>
      </c>
    </row>
    <row r="24" spans="1:8" s="2" customFormat="1" x14ac:dyDescent="0.25">
      <c r="A24" s="114" t="s">
        <v>179</v>
      </c>
      <c r="B24" s="19"/>
      <c r="C24" s="19"/>
      <c r="D24" s="2" t="s">
        <v>61</v>
      </c>
      <c r="E24" s="18" t="s">
        <v>62</v>
      </c>
      <c r="F24" s="29"/>
      <c r="G24" s="16">
        <f>G25</f>
        <v>400000</v>
      </c>
      <c r="H24" s="16">
        <f>H25</f>
        <v>400000</v>
      </c>
    </row>
    <row r="25" spans="1:8" s="2" customFormat="1" x14ac:dyDescent="0.25">
      <c r="A25" s="114" t="s">
        <v>180</v>
      </c>
      <c r="B25" s="19"/>
      <c r="C25" s="19"/>
      <c r="E25" s="18" t="s">
        <v>63</v>
      </c>
      <c r="F25" s="29"/>
      <c r="G25" s="23">
        <v>400000</v>
      </c>
      <c r="H25" s="23">
        <v>400000</v>
      </c>
    </row>
    <row r="26" spans="1:8" s="2" customFormat="1" x14ac:dyDescent="0.25">
      <c r="A26" s="114" t="s">
        <v>181</v>
      </c>
      <c r="B26" s="19"/>
      <c r="C26" s="19"/>
      <c r="D26" s="2" t="s">
        <v>64</v>
      </c>
      <c r="E26" s="18" t="s">
        <v>65</v>
      </c>
      <c r="F26" s="29"/>
      <c r="G26" s="16">
        <f t="shared" ref="G26" si="5">SUM(G27:G29)</f>
        <v>2050000</v>
      </c>
      <c r="H26" s="133">
        <f>SUM(H27:H29)</f>
        <v>2360704</v>
      </c>
    </row>
    <row r="27" spans="1:8" s="2" customFormat="1" x14ac:dyDescent="0.25">
      <c r="A27" s="114" t="s">
        <v>182</v>
      </c>
      <c r="B27" s="19"/>
      <c r="C27" s="19"/>
      <c r="E27" s="18" t="s">
        <v>66</v>
      </c>
      <c r="F27" s="29"/>
      <c r="G27" s="23">
        <v>1500000</v>
      </c>
      <c r="H27" s="23">
        <v>1860704</v>
      </c>
    </row>
    <row r="28" spans="1:8" s="2" customFormat="1" x14ac:dyDescent="0.25">
      <c r="A28" s="114" t="s">
        <v>183</v>
      </c>
      <c r="B28" s="19"/>
      <c r="C28" s="19"/>
      <c r="E28" s="18" t="s">
        <v>67</v>
      </c>
      <c r="F28" s="29"/>
      <c r="G28" s="23">
        <v>300000</v>
      </c>
      <c r="H28" s="23">
        <v>300000</v>
      </c>
    </row>
    <row r="29" spans="1:8" s="2" customFormat="1" x14ac:dyDescent="0.25">
      <c r="A29" s="114" t="s">
        <v>184</v>
      </c>
      <c r="B29" s="19"/>
      <c r="C29" s="19"/>
      <c r="E29" s="18" t="s">
        <v>68</v>
      </c>
      <c r="F29" s="29"/>
      <c r="G29" s="23">
        <v>250000</v>
      </c>
      <c r="H29" s="23">
        <v>200000</v>
      </c>
    </row>
    <row r="30" spans="1:8" s="2" customFormat="1" x14ac:dyDescent="0.25">
      <c r="A30" s="114" t="s">
        <v>185</v>
      </c>
      <c r="B30" s="19"/>
      <c r="C30" s="19" t="s">
        <v>69</v>
      </c>
      <c r="D30" s="30"/>
      <c r="E30" s="18" t="s">
        <v>70</v>
      </c>
      <c r="F30" s="31"/>
      <c r="G30" s="16">
        <f t="shared" ref="G30" si="6">SUM(G31+G35)</f>
        <v>1500000</v>
      </c>
      <c r="H30" s="16">
        <f t="shared" ref="H30" si="7">SUM(H31+H35)</f>
        <v>1650000</v>
      </c>
    </row>
    <row r="31" spans="1:8" s="2" customFormat="1" x14ac:dyDescent="0.25">
      <c r="A31" s="114" t="s">
        <v>186</v>
      </c>
      <c r="B31" s="19"/>
      <c r="C31" s="19"/>
      <c r="D31" s="19" t="s">
        <v>71</v>
      </c>
      <c r="E31" s="18" t="s">
        <v>72</v>
      </c>
      <c r="F31" s="28"/>
      <c r="G31" s="16">
        <f t="shared" ref="G31" si="8">SUM(G32:G34)</f>
        <v>1400000</v>
      </c>
      <c r="H31" s="16">
        <f>SUM(H32:H34)</f>
        <v>1550000</v>
      </c>
    </row>
    <row r="32" spans="1:8" s="2" customFormat="1" x14ac:dyDescent="0.25">
      <c r="A32" s="114" t="s">
        <v>187</v>
      </c>
      <c r="B32" s="19"/>
      <c r="C32" s="19"/>
      <c r="D32" s="19"/>
      <c r="E32" s="18" t="s">
        <v>73</v>
      </c>
      <c r="F32" s="28"/>
      <c r="G32" s="23">
        <v>50000</v>
      </c>
      <c r="H32" s="23">
        <v>60000</v>
      </c>
    </row>
    <row r="33" spans="1:8" s="2" customFormat="1" x14ac:dyDescent="0.25">
      <c r="A33" s="114" t="s">
        <v>188</v>
      </c>
      <c r="B33" s="19"/>
      <c r="C33" s="19"/>
      <c r="D33" s="19"/>
      <c r="E33" s="18" t="s">
        <v>74</v>
      </c>
      <c r="F33" s="28"/>
      <c r="G33" s="23">
        <f>1300000</f>
        <v>1300000</v>
      </c>
      <c r="H33" s="23">
        <v>1440000</v>
      </c>
    </row>
    <row r="34" spans="1:8" s="2" customFormat="1" x14ac:dyDescent="0.25">
      <c r="A34" s="114" t="s">
        <v>189</v>
      </c>
      <c r="B34" s="19"/>
      <c r="C34" s="19"/>
      <c r="D34" s="19"/>
      <c r="E34" s="18" t="s">
        <v>75</v>
      </c>
      <c r="F34" s="28"/>
      <c r="G34" s="23">
        <v>50000</v>
      </c>
      <c r="H34" s="23">
        <v>50000</v>
      </c>
    </row>
    <row r="35" spans="1:8" s="2" customFormat="1" x14ac:dyDescent="0.25">
      <c r="A35" s="114" t="s">
        <v>190</v>
      </c>
      <c r="B35" s="19"/>
      <c r="C35" s="19"/>
      <c r="D35" s="19" t="s">
        <v>76</v>
      </c>
      <c r="E35" s="18" t="s">
        <v>77</v>
      </c>
      <c r="F35" s="31"/>
      <c r="G35" s="23">
        <v>100000</v>
      </c>
      <c r="H35" s="23">
        <v>100000</v>
      </c>
    </row>
    <row r="36" spans="1:8" s="2" customFormat="1" x14ac:dyDescent="0.25">
      <c r="A36" s="114" t="s">
        <v>191</v>
      </c>
      <c r="B36" s="19"/>
      <c r="C36" s="19" t="s">
        <v>78</v>
      </c>
      <c r="D36" s="30"/>
      <c r="E36" s="18" t="s">
        <v>79</v>
      </c>
      <c r="F36" s="31"/>
      <c r="G36" s="16">
        <f>SUM(G37+G38+G39+G40)</f>
        <v>11960000</v>
      </c>
      <c r="H36" s="16">
        <f>SUM(H37+H38+H39+H40)</f>
        <v>13310000</v>
      </c>
    </row>
    <row r="37" spans="1:8" s="2" customFormat="1" ht="16.149999999999999" customHeight="1" x14ac:dyDescent="0.25">
      <c r="A37" s="114" t="s">
        <v>192</v>
      </c>
      <c r="B37" s="19"/>
      <c r="C37" s="19"/>
      <c r="D37" s="2" t="s">
        <v>80</v>
      </c>
      <c r="E37" s="18" t="s">
        <v>81</v>
      </c>
      <c r="F37" s="29"/>
      <c r="G37" s="16">
        <v>300000</v>
      </c>
      <c r="H37" s="133">
        <v>300000</v>
      </c>
    </row>
    <row r="38" spans="1:8" s="2" customFormat="1" x14ac:dyDescent="0.25">
      <c r="A38" s="114" t="s">
        <v>193</v>
      </c>
      <c r="B38" s="19"/>
      <c r="C38" s="19"/>
      <c r="D38" s="2" t="s">
        <v>82</v>
      </c>
      <c r="E38" s="18" t="s">
        <v>83</v>
      </c>
      <c r="F38" s="29"/>
      <c r="G38" s="16">
        <v>300000</v>
      </c>
      <c r="H38" s="133">
        <v>100000</v>
      </c>
    </row>
    <row r="39" spans="1:8" s="2" customFormat="1" x14ac:dyDescent="0.25">
      <c r="A39" s="114" t="s">
        <v>194</v>
      </c>
      <c r="B39" s="19"/>
      <c r="C39" s="19"/>
      <c r="D39" s="2" t="s">
        <v>84</v>
      </c>
      <c r="E39" s="18" t="s">
        <v>85</v>
      </c>
      <c r="F39" s="29"/>
      <c r="G39" s="16">
        <v>1800000</v>
      </c>
      <c r="H39" s="16">
        <v>1800000</v>
      </c>
    </row>
    <row r="40" spans="1:8" s="2" customFormat="1" x14ac:dyDescent="0.25">
      <c r="A40" s="114" t="s">
        <v>195</v>
      </c>
      <c r="B40" s="19"/>
      <c r="C40" s="19"/>
      <c r="D40" s="2" t="s">
        <v>86</v>
      </c>
      <c r="E40" s="18" t="s">
        <v>87</v>
      </c>
      <c r="F40" s="29"/>
      <c r="G40" s="16">
        <f>SUM(G41:G50)</f>
        <v>9560000</v>
      </c>
      <c r="H40" s="16">
        <f>SUM(H41:H50)</f>
        <v>11110000</v>
      </c>
    </row>
    <row r="41" spans="1:8" s="2" customFormat="1" x14ac:dyDescent="0.25">
      <c r="A41" s="114" t="s">
        <v>196</v>
      </c>
      <c r="B41" s="19"/>
      <c r="C41" s="19"/>
      <c r="E41" s="18" t="s">
        <v>104</v>
      </c>
      <c r="F41" s="29"/>
      <c r="G41" s="16">
        <v>600000</v>
      </c>
      <c r="H41" s="16">
        <v>600000</v>
      </c>
    </row>
    <row r="42" spans="1:8" s="2" customFormat="1" x14ac:dyDescent="0.25">
      <c r="A42" s="114" t="s">
        <v>199</v>
      </c>
      <c r="B42" s="19"/>
      <c r="C42" s="19"/>
      <c r="E42" s="18" t="s">
        <v>111</v>
      </c>
      <c r="F42" s="29"/>
      <c r="G42" s="16">
        <v>4500000</v>
      </c>
      <c r="H42" s="16">
        <v>6000000</v>
      </c>
    </row>
    <row r="43" spans="1:8" s="2" customFormat="1" x14ac:dyDescent="0.25">
      <c r="A43" s="114" t="s">
        <v>200</v>
      </c>
      <c r="B43" s="19"/>
      <c r="C43" s="19"/>
      <c r="E43" s="18" t="s">
        <v>109</v>
      </c>
      <c r="F43" s="29"/>
      <c r="G43" s="16">
        <v>500000</v>
      </c>
      <c r="H43" s="16">
        <v>500000</v>
      </c>
    </row>
    <row r="44" spans="1:8" s="2" customFormat="1" x14ac:dyDescent="0.25">
      <c r="A44" s="114" t="s">
        <v>201</v>
      </c>
      <c r="B44" s="19"/>
      <c r="C44" s="19"/>
      <c r="E44" s="18" t="s">
        <v>110</v>
      </c>
      <c r="F44" s="29"/>
      <c r="G44" s="16">
        <v>1500000</v>
      </c>
      <c r="H44" s="16">
        <v>1500000</v>
      </c>
    </row>
    <row r="45" spans="1:8" s="2" customFormat="1" x14ac:dyDescent="0.25">
      <c r="A45" s="114" t="s">
        <v>202</v>
      </c>
      <c r="B45" s="19"/>
      <c r="C45" s="19"/>
      <c r="E45" s="18" t="s">
        <v>105</v>
      </c>
      <c r="F45" s="29"/>
      <c r="G45" s="16">
        <f>85000*4</f>
        <v>340000</v>
      </c>
      <c r="H45" s="16">
        <f>85000*4</f>
        <v>340000</v>
      </c>
    </row>
    <row r="46" spans="1:8" s="2" customFormat="1" x14ac:dyDescent="0.25">
      <c r="A46" s="114" t="s">
        <v>203</v>
      </c>
      <c r="B46" s="19"/>
      <c r="C46" s="19"/>
      <c r="E46" s="18" t="s">
        <v>113</v>
      </c>
      <c r="F46" s="29"/>
      <c r="G46" s="16">
        <f>100000*4</f>
        <v>400000</v>
      </c>
      <c r="H46" s="16">
        <f>100000*4</f>
        <v>400000</v>
      </c>
    </row>
    <row r="47" spans="1:8" s="2" customFormat="1" x14ac:dyDescent="0.25">
      <c r="A47" s="114" t="s">
        <v>204</v>
      </c>
      <c r="B47" s="19"/>
      <c r="C47" s="19"/>
      <c r="E47" s="42" t="s">
        <v>115</v>
      </c>
      <c r="F47" s="29"/>
      <c r="G47" s="16">
        <v>200000</v>
      </c>
      <c r="H47" s="16">
        <v>250000</v>
      </c>
    </row>
    <row r="48" spans="1:8" s="2" customFormat="1" x14ac:dyDescent="0.25">
      <c r="A48" s="114" t="s">
        <v>205</v>
      </c>
      <c r="B48" s="19"/>
      <c r="C48" s="19"/>
      <c r="E48" s="42" t="s">
        <v>116</v>
      </c>
      <c r="F48" s="29"/>
      <c r="G48" s="16">
        <v>800000</v>
      </c>
      <c r="H48" s="16">
        <v>800000</v>
      </c>
    </row>
    <row r="49" spans="1:8" s="2" customFormat="1" x14ac:dyDescent="0.25">
      <c r="A49" s="114" t="s">
        <v>206</v>
      </c>
      <c r="B49" s="19"/>
      <c r="C49" s="19"/>
      <c r="E49" s="42" t="s">
        <v>117</v>
      </c>
      <c r="F49" s="29"/>
      <c r="G49" s="16">
        <v>220000</v>
      </c>
      <c r="H49" s="16">
        <v>220000</v>
      </c>
    </row>
    <row r="50" spans="1:8" s="2" customFormat="1" x14ac:dyDescent="0.25">
      <c r="A50" s="114" t="s">
        <v>207</v>
      </c>
      <c r="B50" s="19"/>
      <c r="C50" s="19"/>
      <c r="E50" s="42" t="s">
        <v>118</v>
      </c>
      <c r="F50" s="29"/>
      <c r="G50" s="16">
        <v>500000</v>
      </c>
      <c r="H50" s="16">
        <v>500000</v>
      </c>
    </row>
    <row r="51" spans="1:8" s="2" customFormat="1" x14ac:dyDescent="0.25">
      <c r="A51" s="114" t="s">
        <v>208</v>
      </c>
      <c r="B51" s="19"/>
      <c r="C51" s="19" t="s">
        <v>88</v>
      </c>
      <c r="E51" s="18" t="s">
        <v>89</v>
      </c>
      <c r="F51" s="29"/>
      <c r="G51" s="16">
        <f t="shared" ref="G51" si="9">SUM(G52)</f>
        <v>700000</v>
      </c>
      <c r="H51" s="16">
        <f t="shared" ref="H51" si="10">SUM(H52)</f>
        <v>700000</v>
      </c>
    </row>
    <row r="52" spans="1:8" s="2" customFormat="1" x14ac:dyDescent="0.25">
      <c r="A52" s="114" t="s">
        <v>209</v>
      </c>
      <c r="B52" s="19"/>
      <c r="C52" s="19"/>
      <c r="D52" s="2" t="s">
        <v>90</v>
      </c>
      <c r="E52" s="18" t="s">
        <v>91</v>
      </c>
      <c r="F52" s="29"/>
      <c r="G52" s="16">
        <v>700000</v>
      </c>
      <c r="H52" s="16">
        <v>700000</v>
      </c>
    </row>
    <row r="53" spans="1:8" s="2" customFormat="1" x14ac:dyDescent="0.25">
      <c r="A53" s="114" t="s">
        <v>210</v>
      </c>
      <c r="B53" s="19"/>
      <c r="C53" s="19" t="s">
        <v>92</v>
      </c>
      <c r="E53" s="18" t="s">
        <v>93</v>
      </c>
      <c r="F53" s="29"/>
      <c r="G53" s="16">
        <f t="shared" ref="G53" si="11">SUM(G54:G55)</f>
        <v>1601000</v>
      </c>
      <c r="H53" s="16">
        <f>SUM(H54:H55)</f>
        <v>1601000</v>
      </c>
    </row>
    <row r="54" spans="1:8" s="2" customFormat="1" x14ac:dyDescent="0.25">
      <c r="A54" s="114" t="s">
        <v>211</v>
      </c>
      <c r="B54" s="19"/>
      <c r="C54" s="19"/>
      <c r="D54" s="2" t="s">
        <v>94</v>
      </c>
      <c r="E54" s="18" t="s">
        <v>95</v>
      </c>
      <c r="F54" s="29"/>
      <c r="G54" s="16">
        <v>1600000</v>
      </c>
      <c r="H54" s="16">
        <v>1600000</v>
      </c>
    </row>
    <row r="55" spans="1:8" s="2" customFormat="1" x14ac:dyDescent="0.25">
      <c r="A55" s="114" t="s">
        <v>212</v>
      </c>
      <c r="B55" s="19"/>
      <c r="C55" s="19"/>
      <c r="D55" s="2" t="s">
        <v>96</v>
      </c>
      <c r="E55" s="18" t="s">
        <v>97</v>
      </c>
      <c r="F55" s="29"/>
      <c r="G55" s="16">
        <v>1000</v>
      </c>
      <c r="H55" s="16">
        <v>1000</v>
      </c>
    </row>
    <row r="56" spans="1:8" s="2" customFormat="1" x14ac:dyDescent="0.25">
      <c r="A56" s="114" t="s">
        <v>213</v>
      </c>
      <c r="B56" s="5" t="s">
        <v>120</v>
      </c>
      <c r="C56" s="5" t="s">
        <v>121</v>
      </c>
      <c r="D56" s="5"/>
      <c r="E56" s="5"/>
      <c r="F56" s="5"/>
      <c r="G56" s="50">
        <f>SUM(G58:G59)</f>
        <v>150000.08100000001</v>
      </c>
      <c r="H56" s="50">
        <f>SUM(H57:H59)</f>
        <v>216000</v>
      </c>
    </row>
    <row r="57" spans="1:8" s="2" customFormat="1" x14ac:dyDescent="0.25">
      <c r="A57" s="114" t="s">
        <v>214</v>
      </c>
      <c r="C57" s="2" t="s">
        <v>148</v>
      </c>
      <c r="E57" s="2" t="s">
        <v>149</v>
      </c>
      <c r="G57" s="97">
        <v>0</v>
      </c>
      <c r="H57" s="98">
        <v>120000</v>
      </c>
    </row>
    <row r="58" spans="1:8" s="2" customFormat="1" x14ac:dyDescent="0.25">
      <c r="A58" s="114" t="s">
        <v>215</v>
      </c>
      <c r="B58" s="5"/>
      <c r="C58" s="19" t="s">
        <v>122</v>
      </c>
      <c r="D58" s="5"/>
      <c r="E58" s="19" t="s">
        <v>123</v>
      </c>
      <c r="F58" s="5"/>
      <c r="G58" s="55">
        <f>118110.3</f>
        <v>118110.3</v>
      </c>
      <c r="H58" s="98">
        <v>50000</v>
      </c>
    </row>
    <row r="59" spans="1:8" s="2" customFormat="1" x14ac:dyDescent="0.25">
      <c r="A59" s="114" t="s">
        <v>216</v>
      </c>
      <c r="B59" s="5"/>
      <c r="C59" s="19" t="s">
        <v>124</v>
      </c>
      <c r="D59" s="5"/>
      <c r="E59" s="19" t="s">
        <v>125</v>
      </c>
      <c r="F59" s="5"/>
      <c r="G59" s="56">
        <f>G58*0.27</f>
        <v>31889.781000000003</v>
      </c>
      <c r="H59" s="99">
        <v>46000</v>
      </c>
    </row>
    <row r="60" spans="1:8" s="2" customFormat="1" ht="26.45" customHeight="1" x14ac:dyDescent="0.25">
      <c r="A60" s="114" t="s">
        <v>217</v>
      </c>
      <c r="B60" s="157" t="s">
        <v>31</v>
      </c>
      <c r="C60" s="158"/>
      <c r="D60" s="158"/>
      <c r="E60" s="158"/>
      <c r="F60" s="158"/>
      <c r="G60" s="52">
        <f t="shared" ref="G60" si="12">G61</f>
        <v>2500000</v>
      </c>
      <c r="H60" s="52">
        <f>H61</f>
        <v>2500000</v>
      </c>
    </row>
    <row r="61" spans="1:8" s="2" customFormat="1" x14ac:dyDescent="0.25">
      <c r="A61" s="114" t="s">
        <v>218</v>
      </c>
      <c r="B61" s="20" t="s">
        <v>18</v>
      </c>
      <c r="C61" s="149" t="s">
        <v>19</v>
      </c>
      <c r="D61" s="149"/>
      <c r="E61" s="149"/>
      <c r="F61" s="29"/>
      <c r="G61" s="16">
        <f t="shared" ref="G61" si="13">SUM(G62)</f>
        <v>2500000</v>
      </c>
      <c r="H61" s="16">
        <f t="shared" ref="H61" si="14">SUM(H62)</f>
        <v>2500000</v>
      </c>
    </row>
    <row r="62" spans="1:8" s="2" customFormat="1" x14ac:dyDescent="0.25">
      <c r="A62" s="114" t="s">
        <v>219</v>
      </c>
      <c r="B62" s="19"/>
      <c r="C62" s="19"/>
      <c r="D62" s="2" t="s">
        <v>98</v>
      </c>
      <c r="E62" s="18" t="s">
        <v>99</v>
      </c>
      <c r="F62" s="29"/>
      <c r="G62" s="16">
        <f>G63</f>
        <v>2500000</v>
      </c>
      <c r="H62" s="16">
        <f>H63</f>
        <v>2500000</v>
      </c>
    </row>
    <row r="63" spans="1:8" s="2" customFormat="1" x14ac:dyDescent="0.25">
      <c r="A63" s="114" t="s">
        <v>220</v>
      </c>
      <c r="B63" s="19"/>
      <c r="C63" s="19"/>
      <c r="E63" s="42" t="s">
        <v>114</v>
      </c>
      <c r="F63" s="29"/>
      <c r="G63" s="16">
        <v>2500000</v>
      </c>
      <c r="H63" s="16">
        <v>2500000</v>
      </c>
    </row>
    <row r="64" spans="1:8" ht="40.35" customHeight="1" x14ac:dyDescent="0.25">
      <c r="A64" s="114" t="s">
        <v>221</v>
      </c>
      <c r="B64" s="147" t="s">
        <v>131</v>
      </c>
      <c r="C64" s="148"/>
      <c r="D64" s="148"/>
      <c r="E64" s="148"/>
      <c r="F64" s="104"/>
      <c r="G64" s="105">
        <f>G65+G70+G73+G85</f>
        <v>0</v>
      </c>
      <c r="H64" s="106">
        <f>H65+H70+H73+H85</f>
        <v>5595982</v>
      </c>
    </row>
    <row r="65" spans="1:8" x14ac:dyDescent="0.25">
      <c r="A65" s="114" t="s">
        <v>222</v>
      </c>
      <c r="B65" s="118" t="s">
        <v>12</v>
      </c>
      <c r="C65" s="57" t="s">
        <v>13</v>
      </c>
      <c r="D65" s="58"/>
      <c r="E65" s="57"/>
      <c r="F65" s="59"/>
      <c r="G65" s="60">
        <f>G66</f>
        <v>0</v>
      </c>
      <c r="H65" s="60">
        <f>H66</f>
        <v>4077361</v>
      </c>
    </row>
    <row r="66" spans="1:8" x14ac:dyDescent="0.25">
      <c r="A66" s="114" t="s">
        <v>223</v>
      </c>
      <c r="B66" s="119"/>
      <c r="C66" s="61" t="s">
        <v>132</v>
      </c>
      <c r="D66" s="61"/>
      <c r="E66" s="61" t="s">
        <v>133</v>
      </c>
      <c r="F66" s="62"/>
      <c r="G66" s="63">
        <f>SUM(G67:G69)</f>
        <v>0</v>
      </c>
      <c r="H66" s="63">
        <f>SUM(H67:H69)</f>
        <v>4077361</v>
      </c>
    </row>
    <row r="67" spans="1:8" x14ac:dyDescent="0.25">
      <c r="A67" s="114" t="s">
        <v>224</v>
      </c>
      <c r="B67" s="119"/>
      <c r="C67" s="61"/>
      <c r="D67" s="61" t="s">
        <v>134</v>
      </c>
      <c r="E67" s="61" t="s">
        <v>135</v>
      </c>
      <c r="F67" s="62"/>
      <c r="G67" s="64">
        <v>0</v>
      </c>
      <c r="H67" s="64">
        <f>480000+500000+700000</f>
        <v>1680000</v>
      </c>
    </row>
    <row r="68" spans="1:8" x14ac:dyDescent="0.25">
      <c r="A68" s="114" t="s">
        <v>225</v>
      </c>
      <c r="B68" s="119"/>
      <c r="C68" s="61"/>
      <c r="D68" s="61" t="s">
        <v>136</v>
      </c>
      <c r="E68" s="61" t="s">
        <v>137</v>
      </c>
      <c r="F68" s="62"/>
      <c r="G68" s="64">
        <v>0</v>
      </c>
      <c r="H68" s="64">
        <f>8*5*50000</f>
        <v>2000000</v>
      </c>
    </row>
    <row r="69" spans="1:8" x14ac:dyDescent="0.25">
      <c r="A69" s="114" t="s">
        <v>226</v>
      </c>
      <c r="B69" s="119"/>
      <c r="C69" s="61"/>
      <c r="D69" s="61" t="s">
        <v>136</v>
      </c>
      <c r="E69" s="61" t="s">
        <v>138</v>
      </c>
      <c r="F69" s="62"/>
      <c r="G69" s="64">
        <v>0</v>
      </c>
      <c r="H69" s="64">
        <v>397361</v>
      </c>
    </row>
    <row r="70" spans="1:8" x14ac:dyDescent="0.25">
      <c r="A70" s="114" t="s">
        <v>227</v>
      </c>
      <c r="B70" s="118" t="s">
        <v>14</v>
      </c>
      <c r="C70" s="57" t="s">
        <v>15</v>
      </c>
      <c r="D70" s="58"/>
      <c r="E70" s="58"/>
      <c r="F70" s="58"/>
      <c r="G70" s="60">
        <f>SUM(G71:G72)</f>
        <v>0</v>
      </c>
      <c r="H70" s="60">
        <f>SUM(H71:H72)</f>
        <v>622996</v>
      </c>
    </row>
    <row r="71" spans="1:8" x14ac:dyDescent="0.25">
      <c r="A71" s="114" t="s">
        <v>228</v>
      </c>
      <c r="B71" s="119"/>
      <c r="C71" s="61"/>
      <c r="D71" s="65" t="s">
        <v>57</v>
      </c>
      <c r="E71" s="65"/>
      <c r="F71" s="65"/>
      <c r="G71" s="64">
        <v>0</v>
      </c>
      <c r="H71" s="64">
        <v>533833</v>
      </c>
    </row>
    <row r="72" spans="1:8" x14ac:dyDescent="0.25">
      <c r="A72" s="114" t="s">
        <v>229</v>
      </c>
      <c r="B72" s="119"/>
      <c r="C72" s="61"/>
      <c r="D72" s="65" t="s">
        <v>139</v>
      </c>
      <c r="E72" s="65"/>
      <c r="F72" s="65"/>
      <c r="G72" s="64">
        <v>0</v>
      </c>
      <c r="H72" s="64">
        <v>89163</v>
      </c>
    </row>
    <row r="73" spans="1:8" x14ac:dyDescent="0.25">
      <c r="A73" s="114" t="s">
        <v>230</v>
      </c>
      <c r="B73" s="118" t="s">
        <v>16</v>
      </c>
      <c r="C73" s="57" t="s">
        <v>17</v>
      </c>
      <c r="D73" s="57"/>
      <c r="E73" s="57"/>
      <c r="F73" s="59"/>
      <c r="G73" s="60">
        <f>G74+G77+G80+G82</f>
        <v>0</v>
      </c>
      <c r="H73" s="60">
        <f>H74+H77+H80+H82</f>
        <v>407310</v>
      </c>
    </row>
    <row r="74" spans="1:8" x14ac:dyDescent="0.25">
      <c r="A74" s="114" t="s">
        <v>231</v>
      </c>
      <c r="B74" s="119"/>
      <c r="C74" s="61" t="s">
        <v>59</v>
      </c>
      <c r="D74" s="61"/>
      <c r="E74" s="61" t="s">
        <v>60</v>
      </c>
      <c r="F74" s="62"/>
      <c r="G74" s="64">
        <f t="shared" ref="G74:H75" si="15">G75</f>
        <v>0</v>
      </c>
      <c r="H74" s="64">
        <f t="shared" si="15"/>
        <v>125970</v>
      </c>
    </row>
    <row r="75" spans="1:8" x14ac:dyDescent="0.25">
      <c r="A75" s="114" t="s">
        <v>232</v>
      </c>
      <c r="B75" s="119"/>
      <c r="C75" s="61"/>
      <c r="D75" s="65" t="s">
        <v>64</v>
      </c>
      <c r="E75" s="61" t="s">
        <v>65</v>
      </c>
      <c r="F75" s="66"/>
      <c r="G75" s="64">
        <f t="shared" si="15"/>
        <v>0</v>
      </c>
      <c r="H75" s="64">
        <f t="shared" si="15"/>
        <v>125970</v>
      </c>
    </row>
    <row r="76" spans="1:8" x14ac:dyDescent="0.25">
      <c r="A76" s="114" t="s">
        <v>233</v>
      </c>
      <c r="B76" s="119"/>
      <c r="C76" s="61"/>
      <c r="D76" s="65"/>
      <c r="E76" s="61" t="s">
        <v>140</v>
      </c>
      <c r="F76" s="66"/>
      <c r="G76" s="64">
        <v>0</v>
      </c>
      <c r="H76" s="64">
        <v>125970</v>
      </c>
    </row>
    <row r="77" spans="1:8" x14ac:dyDescent="0.25">
      <c r="A77" s="114" t="s">
        <v>234</v>
      </c>
      <c r="B77" s="119"/>
      <c r="C77" s="61" t="s">
        <v>78</v>
      </c>
      <c r="D77" s="67"/>
      <c r="E77" s="61" t="s">
        <v>79</v>
      </c>
      <c r="F77" s="68"/>
      <c r="G77" s="64">
        <f>G78+G79</f>
        <v>0</v>
      </c>
      <c r="H77" s="64">
        <f>H78+H79</f>
        <v>59266</v>
      </c>
    </row>
    <row r="78" spans="1:8" x14ac:dyDescent="0.25">
      <c r="A78" s="114" t="s">
        <v>235</v>
      </c>
      <c r="B78" s="119"/>
      <c r="C78" s="61"/>
      <c r="D78" s="65" t="s">
        <v>80</v>
      </c>
      <c r="E78" s="61" t="s">
        <v>81</v>
      </c>
      <c r="F78" s="66"/>
      <c r="G78" s="64">
        <v>0</v>
      </c>
      <c r="H78" s="64">
        <v>27466</v>
      </c>
    </row>
    <row r="79" spans="1:8" x14ac:dyDescent="0.25">
      <c r="A79" s="114" t="s">
        <v>236</v>
      </c>
      <c r="B79" s="119"/>
      <c r="C79" s="61"/>
      <c r="D79" s="65" t="s">
        <v>86</v>
      </c>
      <c r="E79" s="61" t="s">
        <v>87</v>
      </c>
      <c r="F79" s="66"/>
      <c r="G79" s="64">
        <v>0</v>
      </c>
      <c r="H79" s="64">
        <v>31800</v>
      </c>
    </row>
    <row r="80" spans="1:8" x14ac:dyDescent="0.25">
      <c r="A80" s="114" t="s">
        <v>237</v>
      </c>
      <c r="B80" s="119"/>
      <c r="C80" s="61" t="s">
        <v>88</v>
      </c>
      <c r="D80" s="65"/>
      <c r="E80" s="61" t="s">
        <v>89</v>
      </c>
      <c r="F80" s="66"/>
      <c r="G80" s="64">
        <f>G81</f>
        <v>0</v>
      </c>
      <c r="H80" s="64">
        <f>H81</f>
        <v>0</v>
      </c>
    </row>
    <row r="81" spans="1:8" x14ac:dyDescent="0.25">
      <c r="A81" s="114" t="s">
        <v>238</v>
      </c>
      <c r="B81" s="119"/>
      <c r="C81" s="61"/>
      <c r="D81" s="65" t="s">
        <v>90</v>
      </c>
      <c r="E81" s="61" t="s">
        <v>91</v>
      </c>
      <c r="F81" s="66"/>
      <c r="G81" s="64">
        <v>0</v>
      </c>
      <c r="H81" s="64">
        <v>0</v>
      </c>
    </row>
    <row r="82" spans="1:8" x14ac:dyDescent="0.25">
      <c r="A82" s="114" t="s">
        <v>239</v>
      </c>
      <c r="B82" s="119"/>
      <c r="C82" s="61" t="s">
        <v>92</v>
      </c>
      <c r="D82" s="65"/>
      <c r="E82" s="61" t="s">
        <v>93</v>
      </c>
      <c r="F82" s="66"/>
      <c r="G82" s="64">
        <f>G83</f>
        <v>0</v>
      </c>
      <c r="H82" s="64">
        <f>H83+H84</f>
        <v>222074</v>
      </c>
    </row>
    <row r="83" spans="1:8" x14ac:dyDescent="0.25">
      <c r="A83" s="114" t="s">
        <v>240</v>
      </c>
      <c r="B83" s="119"/>
      <c r="C83" s="61"/>
      <c r="D83" s="65" t="s">
        <v>94</v>
      </c>
      <c r="E83" s="61" t="s">
        <v>95</v>
      </c>
      <c r="F83" s="66"/>
      <c r="G83" s="64">
        <v>0</v>
      </c>
      <c r="H83" s="64">
        <v>147819</v>
      </c>
    </row>
    <row r="84" spans="1:8" x14ac:dyDescent="0.25">
      <c r="A84" s="114" t="s">
        <v>241</v>
      </c>
      <c r="B84" s="119"/>
      <c r="C84" s="61"/>
      <c r="D84" s="65" t="s">
        <v>96</v>
      </c>
      <c r="E84" s="61" t="s">
        <v>172</v>
      </c>
      <c r="F84" s="66"/>
      <c r="G84" s="64">
        <v>0</v>
      </c>
      <c r="H84" s="64">
        <v>74255</v>
      </c>
    </row>
    <row r="85" spans="1:8" x14ac:dyDescent="0.25">
      <c r="A85" s="114" t="s">
        <v>242</v>
      </c>
      <c r="B85" s="120" t="s">
        <v>120</v>
      </c>
      <c r="C85" s="58" t="s">
        <v>121</v>
      </c>
      <c r="D85" s="58"/>
      <c r="E85" s="58"/>
      <c r="F85" s="58"/>
      <c r="G85" s="69">
        <f>SUM(G86:G87)</f>
        <v>0</v>
      </c>
      <c r="H85" s="69">
        <f>SUM(H86:H87)</f>
        <v>488315</v>
      </c>
    </row>
    <row r="86" spans="1:8" x14ac:dyDescent="0.25">
      <c r="A86" s="114" t="s">
        <v>243</v>
      </c>
      <c r="B86" s="120"/>
      <c r="C86" s="61" t="s">
        <v>122</v>
      </c>
      <c r="D86" s="58"/>
      <c r="E86" s="61" t="s">
        <v>141</v>
      </c>
      <c r="F86" s="58"/>
      <c r="G86" s="70">
        <v>0</v>
      </c>
      <c r="H86" s="70">
        <v>384500</v>
      </c>
    </row>
    <row r="87" spans="1:8" x14ac:dyDescent="0.25">
      <c r="A87" s="114" t="s">
        <v>244</v>
      </c>
      <c r="B87" s="121"/>
      <c r="C87" s="72" t="s">
        <v>124</v>
      </c>
      <c r="D87" s="71"/>
      <c r="E87" s="72" t="s">
        <v>125</v>
      </c>
      <c r="F87" s="71"/>
      <c r="G87" s="73">
        <v>0</v>
      </c>
      <c r="H87" s="73">
        <v>103815</v>
      </c>
    </row>
    <row r="88" spans="1:8" ht="40.35" customHeight="1" x14ac:dyDescent="0.25">
      <c r="A88" s="114" t="s">
        <v>245</v>
      </c>
      <c r="B88" s="147" t="s">
        <v>171</v>
      </c>
      <c r="C88" s="148"/>
      <c r="D88" s="148"/>
      <c r="E88" s="148"/>
      <c r="F88" s="104"/>
      <c r="G88" s="106">
        <f>G89+G93+G95</f>
        <v>0</v>
      </c>
      <c r="H88" s="106">
        <f>H89+H93+H95</f>
        <v>4726290</v>
      </c>
    </row>
    <row r="89" spans="1:8" x14ac:dyDescent="0.25">
      <c r="A89" s="114" t="s">
        <v>246</v>
      </c>
      <c r="B89" s="118" t="s">
        <v>12</v>
      </c>
      <c r="C89" s="57" t="s">
        <v>13</v>
      </c>
      <c r="D89" s="58"/>
      <c r="E89" s="57"/>
      <c r="F89" s="59"/>
      <c r="G89" s="60">
        <f>G90</f>
        <v>0</v>
      </c>
      <c r="H89" s="60">
        <f>H90</f>
        <v>4070566</v>
      </c>
    </row>
    <row r="90" spans="1:8" x14ac:dyDescent="0.25">
      <c r="A90" s="114" t="s">
        <v>247</v>
      </c>
      <c r="B90" s="119"/>
      <c r="C90" s="61" t="s">
        <v>132</v>
      </c>
      <c r="D90" s="61"/>
      <c r="E90" s="61" t="s">
        <v>133</v>
      </c>
      <c r="F90" s="62"/>
      <c r="G90" s="63">
        <f>SUM(G91:G92)</f>
        <v>0</v>
      </c>
      <c r="H90" s="63">
        <f>SUM(H91:H92)</f>
        <v>4070566</v>
      </c>
    </row>
    <row r="91" spans="1:8" x14ac:dyDescent="0.25">
      <c r="A91" s="114" t="s">
        <v>248</v>
      </c>
      <c r="B91" s="119"/>
      <c r="C91" s="61"/>
      <c r="D91" s="61" t="s">
        <v>134</v>
      </c>
      <c r="E91" s="61" t="s">
        <v>135</v>
      </c>
      <c r="F91" s="62"/>
      <c r="G91" s="64">
        <v>0</v>
      </c>
      <c r="H91" s="64">
        <f>797060+56500</f>
        <v>853560</v>
      </c>
    </row>
    <row r="92" spans="1:8" x14ac:dyDescent="0.25">
      <c r="A92" s="114" t="s">
        <v>249</v>
      </c>
      <c r="B92" s="119"/>
      <c r="C92" s="61"/>
      <c r="D92" s="61" t="s">
        <v>136</v>
      </c>
      <c r="E92" s="61" t="s">
        <v>137</v>
      </c>
      <c r="F92" s="62"/>
      <c r="G92" s="64">
        <v>0</v>
      </c>
      <c r="H92" s="64">
        <f>2708506+508500</f>
        <v>3217006</v>
      </c>
    </row>
    <row r="93" spans="1:8" x14ac:dyDescent="0.25">
      <c r="A93" s="114" t="s">
        <v>250</v>
      </c>
      <c r="B93" s="118" t="s">
        <v>14</v>
      </c>
      <c r="C93" s="57" t="s">
        <v>15</v>
      </c>
      <c r="D93" s="58"/>
      <c r="E93" s="58"/>
      <c r="F93" s="58"/>
      <c r="G93" s="60">
        <f>SUM(G94:G94)</f>
        <v>0</v>
      </c>
      <c r="H93" s="60">
        <f>SUM(H94:H94)</f>
        <v>455724</v>
      </c>
    </row>
    <row r="94" spans="1:8" x14ac:dyDescent="0.25">
      <c r="A94" s="114" t="s">
        <v>251</v>
      </c>
      <c r="B94" s="119"/>
      <c r="C94" s="61"/>
      <c r="D94" s="65" t="s">
        <v>57</v>
      </c>
      <c r="E94" s="65"/>
      <c r="F94" s="65"/>
      <c r="G94" s="64">
        <v>0</v>
      </c>
      <c r="H94" s="64">
        <v>455724</v>
      </c>
    </row>
    <row r="95" spans="1:8" x14ac:dyDescent="0.25">
      <c r="A95" s="114" t="s">
        <v>252</v>
      </c>
      <c r="B95" s="118" t="s">
        <v>16</v>
      </c>
      <c r="C95" s="57" t="s">
        <v>17</v>
      </c>
      <c r="D95" s="57"/>
      <c r="E95" s="57"/>
      <c r="F95" s="59"/>
      <c r="G95" s="60">
        <f>G96+G99+G102</f>
        <v>0</v>
      </c>
      <c r="H95" s="60">
        <f>H96+H99+H102</f>
        <v>200000</v>
      </c>
    </row>
    <row r="96" spans="1:8" x14ac:dyDescent="0.25">
      <c r="A96" s="114" t="s">
        <v>253</v>
      </c>
      <c r="B96" s="119"/>
      <c r="C96" s="61" t="s">
        <v>59</v>
      </c>
      <c r="D96" s="61"/>
      <c r="E96" s="61" t="s">
        <v>60</v>
      </c>
      <c r="F96" s="62"/>
      <c r="G96" s="64">
        <f t="shared" ref="G96:H97" si="16">G97</f>
        <v>0</v>
      </c>
      <c r="H96" s="64">
        <f t="shared" si="16"/>
        <v>117400</v>
      </c>
    </row>
    <row r="97" spans="1:8" x14ac:dyDescent="0.25">
      <c r="A97" s="114" t="s">
        <v>254</v>
      </c>
      <c r="B97" s="119"/>
      <c r="C97" s="61"/>
      <c r="D97" s="65" t="s">
        <v>64</v>
      </c>
      <c r="E97" s="61" t="s">
        <v>65</v>
      </c>
      <c r="F97" s="66"/>
      <c r="G97" s="64">
        <f t="shared" si="16"/>
        <v>0</v>
      </c>
      <c r="H97" s="64">
        <f t="shared" si="16"/>
        <v>117400</v>
      </c>
    </row>
    <row r="98" spans="1:8" x14ac:dyDescent="0.25">
      <c r="A98" s="114" t="s">
        <v>255</v>
      </c>
      <c r="B98" s="119"/>
      <c r="C98" s="61"/>
      <c r="D98" s="65"/>
      <c r="E98" s="61" t="s">
        <v>140</v>
      </c>
      <c r="F98" s="66"/>
      <c r="G98" s="64">
        <v>0</v>
      </c>
      <c r="H98" s="64">
        <v>117400</v>
      </c>
    </row>
    <row r="99" spans="1:8" x14ac:dyDescent="0.25">
      <c r="A99" s="114" t="s">
        <v>256</v>
      </c>
      <c r="B99" s="119"/>
      <c r="C99" s="61" t="s">
        <v>78</v>
      </c>
      <c r="D99" s="67"/>
      <c r="E99" s="61" t="s">
        <v>79</v>
      </c>
      <c r="F99" s="68"/>
      <c r="G99" s="64">
        <f>G100+G101</f>
        <v>0</v>
      </c>
      <c r="H99" s="64">
        <f>H100+H101</f>
        <v>40000</v>
      </c>
    </row>
    <row r="100" spans="1:8" x14ac:dyDescent="0.25">
      <c r="A100" s="114" t="s">
        <v>257</v>
      </c>
      <c r="B100" s="119"/>
      <c r="C100" s="61"/>
      <c r="D100" s="65" t="s">
        <v>80</v>
      </c>
      <c r="E100" s="61" t="s">
        <v>81</v>
      </c>
      <c r="F100" s="66"/>
      <c r="G100" s="64">
        <v>0</v>
      </c>
      <c r="H100" s="64">
        <v>0</v>
      </c>
    </row>
    <row r="101" spans="1:8" x14ac:dyDescent="0.25">
      <c r="A101" s="114" t="s">
        <v>258</v>
      </c>
      <c r="B101" s="119"/>
      <c r="C101" s="61"/>
      <c r="D101" s="65" t="s">
        <v>86</v>
      </c>
      <c r="E101" s="61" t="s">
        <v>87</v>
      </c>
      <c r="F101" s="66"/>
      <c r="G101" s="64">
        <v>0</v>
      </c>
      <c r="H101" s="64">
        <v>40000</v>
      </c>
    </row>
    <row r="102" spans="1:8" x14ac:dyDescent="0.25">
      <c r="A102" s="114" t="s">
        <v>259</v>
      </c>
      <c r="B102" s="119"/>
      <c r="C102" s="61" t="s">
        <v>92</v>
      </c>
      <c r="D102" s="65"/>
      <c r="E102" s="61" t="s">
        <v>93</v>
      </c>
      <c r="F102" s="66"/>
      <c r="G102" s="64">
        <f>G103</f>
        <v>0</v>
      </c>
      <c r="H102" s="64">
        <f>H103</f>
        <v>42600</v>
      </c>
    </row>
    <row r="103" spans="1:8" x14ac:dyDescent="0.25">
      <c r="A103" s="114" t="s">
        <v>260</v>
      </c>
      <c r="B103" s="119"/>
      <c r="C103" s="61"/>
      <c r="D103" s="65" t="s">
        <v>94</v>
      </c>
      <c r="E103" s="61" t="s">
        <v>95</v>
      </c>
      <c r="F103" s="66"/>
      <c r="G103" s="64">
        <v>0</v>
      </c>
      <c r="H103" s="64">
        <v>42600</v>
      </c>
    </row>
    <row r="104" spans="1:8" s="2" customFormat="1" ht="22.9" customHeight="1" x14ac:dyDescent="0.25">
      <c r="A104" s="114" t="s">
        <v>261</v>
      </c>
      <c r="B104" s="81" t="s">
        <v>100</v>
      </c>
      <c r="C104" s="81"/>
      <c r="D104" s="81"/>
      <c r="E104" s="82"/>
      <c r="F104" s="83"/>
      <c r="G104" s="84">
        <f>G7+G60+G64</f>
        <v>150327500.081</v>
      </c>
      <c r="H104" s="84">
        <f>H7+H60+H64+H88</f>
        <v>165674898</v>
      </c>
    </row>
    <row r="105" spans="1:8" s="2" customFormat="1" ht="15.6" customHeight="1" x14ac:dyDescent="0.25">
      <c r="A105" s="114" t="s">
        <v>262</v>
      </c>
      <c r="B105" s="122" t="s">
        <v>12</v>
      </c>
      <c r="C105" s="86" t="s">
        <v>13</v>
      </c>
      <c r="D105" s="86"/>
      <c r="E105" s="86"/>
      <c r="F105" s="86"/>
      <c r="G105" s="87">
        <f>G8</f>
        <v>113800000</v>
      </c>
      <c r="H105" s="88">
        <f>H8+H65+H89</f>
        <v>124791821</v>
      </c>
    </row>
    <row r="106" spans="1:8" s="2" customFormat="1" ht="15.6" customHeight="1" x14ac:dyDescent="0.25">
      <c r="A106" s="114" t="s">
        <v>263</v>
      </c>
      <c r="B106" s="123" t="s">
        <v>14</v>
      </c>
      <c r="C106" s="79" t="s">
        <v>15</v>
      </c>
      <c r="D106" s="79"/>
      <c r="E106" s="79"/>
      <c r="F106" s="79"/>
      <c r="G106" s="80">
        <f>G19</f>
        <v>15666500</v>
      </c>
      <c r="H106" s="89">
        <f>H19+H70+H93</f>
        <v>17049748</v>
      </c>
    </row>
    <row r="107" spans="1:8" s="2" customFormat="1" ht="15.6" customHeight="1" x14ac:dyDescent="0.25">
      <c r="A107" s="114" t="s">
        <v>264</v>
      </c>
      <c r="B107" s="123" t="s">
        <v>16</v>
      </c>
      <c r="C107" s="79" t="s">
        <v>17</v>
      </c>
      <c r="D107" s="79"/>
      <c r="E107" s="79"/>
      <c r="F107" s="79"/>
      <c r="G107" s="80">
        <f>G22</f>
        <v>18211000</v>
      </c>
      <c r="H107" s="89">
        <f>H22+H73+H95</f>
        <v>20629014</v>
      </c>
    </row>
    <row r="108" spans="1:8" s="5" customFormat="1" ht="15.6" customHeight="1" x14ac:dyDescent="0.25">
      <c r="A108" s="114" t="s">
        <v>265</v>
      </c>
      <c r="B108" s="123" t="s">
        <v>18</v>
      </c>
      <c r="C108" s="79" t="s">
        <v>101</v>
      </c>
      <c r="D108" s="79"/>
      <c r="E108" s="79"/>
      <c r="F108" s="79"/>
      <c r="G108" s="80">
        <f>G61</f>
        <v>2500000</v>
      </c>
      <c r="H108" s="89">
        <f>H61</f>
        <v>2500000</v>
      </c>
    </row>
    <row r="109" spans="1:8" s="5" customFormat="1" ht="15.6" customHeight="1" x14ac:dyDescent="0.25">
      <c r="A109" s="114" t="s">
        <v>266</v>
      </c>
      <c r="B109" s="124" t="s">
        <v>120</v>
      </c>
      <c r="C109" s="90" t="s">
        <v>121</v>
      </c>
      <c r="D109" s="90"/>
      <c r="E109" s="90"/>
      <c r="F109" s="90"/>
      <c r="G109" s="91">
        <f>G56</f>
        <v>150000.08100000001</v>
      </c>
      <c r="H109" s="92">
        <f>H56+H85</f>
        <v>704315</v>
      </c>
    </row>
    <row r="110" spans="1:8" s="2" customFormat="1" x14ac:dyDescent="0.25">
      <c r="A110" s="114" t="s">
        <v>267</v>
      </c>
      <c r="B110" s="125" t="s">
        <v>102</v>
      </c>
      <c r="C110" s="39"/>
      <c r="D110" s="39"/>
      <c r="E110" s="39"/>
      <c r="F110" s="39"/>
      <c r="G110" s="85">
        <f>SUM(G105:G109)</f>
        <v>150327500.081</v>
      </c>
      <c r="H110" s="85">
        <f>SUM(H105:H109)</f>
        <v>165674898</v>
      </c>
    </row>
    <row r="111" spans="1:8" s="2" customFormat="1" x14ac:dyDescent="0.25">
      <c r="A111" s="114" t="s">
        <v>268</v>
      </c>
      <c r="B111" s="19"/>
      <c r="C111" s="32" t="s">
        <v>103</v>
      </c>
      <c r="D111" s="32"/>
      <c r="E111" s="33"/>
      <c r="F111" s="34">
        <v>23</v>
      </c>
      <c r="G111"/>
      <c r="H111" s="131"/>
    </row>
    <row r="112" spans="1:8" x14ac:dyDescent="0.25">
      <c r="B112" s="2"/>
      <c r="C112" s="2"/>
      <c r="D112" s="2"/>
      <c r="E112" s="2"/>
      <c r="G112" s="2"/>
      <c r="H112" s="47"/>
    </row>
    <row r="113" spans="8:8" x14ac:dyDescent="0.25">
      <c r="H113" s="47"/>
    </row>
    <row r="114" spans="8:8" x14ac:dyDescent="0.25">
      <c r="H114" s="112"/>
    </row>
  </sheetData>
  <sheetProtection selectLockedCells="1" selectUnlockedCells="1"/>
  <mergeCells count="10">
    <mergeCell ref="B88:E88"/>
    <mergeCell ref="B64:E64"/>
    <mergeCell ref="C61:E61"/>
    <mergeCell ref="B1:F1"/>
    <mergeCell ref="B5:E6"/>
    <mergeCell ref="F5:F6"/>
    <mergeCell ref="B7:E7"/>
    <mergeCell ref="B60:F60"/>
    <mergeCell ref="B2:H2"/>
    <mergeCell ref="B3:H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68" firstPageNumber="0" orientation="portrait" verticalDpi="300" r:id="rId1"/>
  <headerFooter alignWithMargins="0">
    <oddFooter>&amp;C&amp;P. oldal</oddFooter>
  </headerFooter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NagyEszter</cp:lastModifiedBy>
  <cp:lastPrinted>2022-11-24T10:59:03Z</cp:lastPrinted>
  <dcterms:created xsi:type="dcterms:W3CDTF">2019-09-05T06:28:05Z</dcterms:created>
  <dcterms:modified xsi:type="dcterms:W3CDTF">2022-11-24T10:59:09Z</dcterms:modified>
</cp:coreProperties>
</file>